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CRITIAN\ESTADOS AGOSTO, 2017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0" i="1" l="1"/>
  <c r="H170" i="1"/>
  <c r="G170" i="1"/>
  <c r="M168" i="1"/>
  <c r="Q166" i="1"/>
  <c r="V166" i="1" s="1"/>
  <c r="M166" i="1"/>
  <c r="L166" i="1"/>
  <c r="W166" i="1" s="1"/>
  <c r="W165" i="1"/>
  <c r="V165" i="1"/>
  <c r="K165" i="1"/>
  <c r="W164" i="1"/>
  <c r="W163" i="1"/>
  <c r="V159" i="1"/>
  <c r="M159" i="1"/>
  <c r="K159" i="1"/>
  <c r="R156" i="1"/>
  <c r="L156" i="1"/>
  <c r="W155" i="1"/>
  <c r="V155" i="1"/>
  <c r="V156" i="1" s="1"/>
  <c r="W156" i="1" s="1"/>
  <c r="K155" i="1"/>
  <c r="U152" i="1"/>
  <c r="R152" i="1"/>
  <c r="Q152" i="1"/>
  <c r="O152" i="1"/>
  <c r="M152" i="1"/>
  <c r="L152" i="1"/>
  <c r="J152" i="1"/>
  <c r="W151" i="1"/>
  <c r="V150" i="1"/>
  <c r="W150" i="1" s="1"/>
  <c r="K150" i="1"/>
  <c r="V149" i="1"/>
  <c r="W149" i="1" s="1"/>
  <c r="K149" i="1"/>
  <c r="Q148" i="1"/>
  <c r="V148" i="1" s="1"/>
  <c r="K148" i="1"/>
  <c r="V147" i="1"/>
  <c r="W147" i="1" s="1"/>
  <c r="K147" i="1"/>
  <c r="S144" i="1"/>
  <c r="R144" i="1"/>
  <c r="Q144" i="1"/>
  <c r="P144" i="1"/>
  <c r="O144" i="1"/>
  <c r="N144" i="1"/>
  <c r="U143" i="1"/>
  <c r="U144" i="1" s="1"/>
  <c r="T143" i="1"/>
  <c r="V143" i="1" s="1"/>
  <c r="W143" i="1" s="1"/>
  <c r="K143" i="1"/>
  <c r="U140" i="1"/>
  <c r="S140" i="1"/>
  <c r="Q140" i="1"/>
  <c r="P140" i="1"/>
  <c r="J140" i="1"/>
  <c r="W139" i="1"/>
  <c r="R138" i="1"/>
  <c r="V138" i="1" s="1"/>
  <c r="W138" i="1" s="1"/>
  <c r="M138" i="1"/>
  <c r="K138" i="1"/>
  <c r="V137" i="1"/>
  <c r="W137" i="1" s="1"/>
  <c r="R136" i="1"/>
  <c r="V136" i="1" s="1"/>
  <c r="W136" i="1" s="1"/>
  <c r="K136" i="1"/>
  <c r="W135" i="1"/>
  <c r="V134" i="1"/>
  <c r="W134" i="1" s="1"/>
  <c r="K134" i="1"/>
  <c r="R133" i="1"/>
  <c r="V133" i="1" s="1"/>
  <c r="M133" i="1"/>
  <c r="M140" i="1" s="1"/>
  <c r="K133" i="1"/>
  <c r="V132" i="1"/>
  <c r="N132" i="1"/>
  <c r="L132" i="1"/>
  <c r="L140" i="1" s="1"/>
  <c r="K132" i="1"/>
  <c r="K140" i="1" s="1"/>
  <c r="U129" i="1"/>
  <c r="T129" i="1"/>
  <c r="S129" i="1"/>
  <c r="Q129" i="1"/>
  <c r="P129" i="1"/>
  <c r="O129" i="1"/>
  <c r="J129" i="1"/>
  <c r="V128" i="1"/>
  <c r="R127" i="1"/>
  <c r="V127" i="1" s="1"/>
  <c r="M127" i="1"/>
  <c r="V126" i="1"/>
  <c r="W126" i="1" s="1"/>
  <c r="K126" i="1"/>
  <c r="R125" i="1"/>
  <c r="R129" i="1" s="1"/>
  <c r="K125" i="1"/>
  <c r="K129" i="1" s="1"/>
  <c r="T123" i="1"/>
  <c r="R123" i="1"/>
  <c r="M123" i="1"/>
  <c r="V122" i="1"/>
  <c r="W122" i="1" s="1"/>
  <c r="W121" i="1"/>
  <c r="V121" i="1"/>
  <c r="U119" i="1"/>
  <c r="S119" i="1"/>
  <c r="R119" i="1"/>
  <c r="Q119" i="1"/>
  <c r="P119" i="1"/>
  <c r="L119" i="1"/>
  <c r="J119" i="1"/>
  <c r="V118" i="1"/>
  <c r="M118" i="1"/>
  <c r="M119" i="1" s="1"/>
  <c r="K118" i="1"/>
  <c r="V117" i="1"/>
  <c r="W117" i="1" s="1"/>
  <c r="V116" i="1"/>
  <c r="V119" i="1" s="1"/>
  <c r="K116" i="1"/>
  <c r="K119" i="1" s="1"/>
  <c r="R113" i="1"/>
  <c r="V113" i="1" s="1"/>
  <c r="P113" i="1"/>
  <c r="L113" i="1"/>
  <c r="W113" i="1" s="1"/>
  <c r="V112" i="1"/>
  <c r="W112" i="1" s="1"/>
  <c r="K112" i="1"/>
  <c r="K170" i="1" s="1"/>
  <c r="R109" i="1"/>
  <c r="V108" i="1"/>
  <c r="W108" i="1" s="1"/>
  <c r="K108" i="1"/>
  <c r="K113" i="1" s="1"/>
  <c r="V107" i="1"/>
  <c r="V109" i="1" s="1"/>
  <c r="M107" i="1"/>
  <c r="S104" i="1"/>
  <c r="R104" i="1"/>
  <c r="Q104" i="1"/>
  <c r="M104" i="1"/>
  <c r="L104" i="1"/>
  <c r="J104" i="1"/>
  <c r="V103" i="1"/>
  <c r="W103" i="1" s="1"/>
  <c r="K103" i="1"/>
  <c r="W102" i="1"/>
  <c r="M102" i="1"/>
  <c r="V101" i="1"/>
  <c r="W101" i="1" s="1"/>
  <c r="K101" i="1"/>
  <c r="K104" i="1" s="1"/>
  <c r="U98" i="1"/>
  <c r="T98" i="1"/>
  <c r="R98" i="1"/>
  <c r="O98" i="1"/>
  <c r="M98" i="1"/>
  <c r="J98" i="1"/>
  <c r="V97" i="1"/>
  <c r="W97" i="1" s="1"/>
  <c r="K97" i="1"/>
  <c r="S96" i="1"/>
  <c r="Q96" i="1"/>
  <c r="Q98" i="1" s="1"/>
  <c r="P96" i="1"/>
  <c r="P98" i="1" s="1"/>
  <c r="L96" i="1"/>
  <c r="L98" i="1" s="1"/>
  <c r="K96" i="1"/>
  <c r="K98" i="1" s="1"/>
  <c r="S93" i="1"/>
  <c r="R93" i="1"/>
  <c r="Q93" i="1"/>
  <c r="M93" i="1"/>
  <c r="J93" i="1"/>
  <c r="V92" i="1"/>
  <c r="W92" i="1" s="1"/>
  <c r="K92" i="1"/>
  <c r="V91" i="1"/>
  <c r="W91" i="1" s="1"/>
  <c r="K91" i="1"/>
  <c r="V90" i="1"/>
  <c r="L90" i="1"/>
  <c r="L93" i="1" s="1"/>
  <c r="K90" i="1"/>
  <c r="V89" i="1"/>
  <c r="W89" i="1" s="1"/>
  <c r="V88" i="1"/>
  <c r="W88" i="1" s="1"/>
  <c r="K88" i="1"/>
  <c r="V87" i="1"/>
  <c r="W87" i="1" s="1"/>
  <c r="K87" i="1"/>
  <c r="W86" i="1"/>
  <c r="V85" i="1"/>
  <c r="W85" i="1" s="1"/>
  <c r="K85" i="1"/>
  <c r="V84" i="1"/>
  <c r="W84" i="1" s="1"/>
  <c r="K84" i="1"/>
  <c r="K93" i="1" s="1"/>
  <c r="U81" i="1"/>
  <c r="S81" i="1"/>
  <c r="R81" i="1"/>
  <c r="Q81" i="1"/>
  <c r="P81" i="1"/>
  <c r="M81" i="1"/>
  <c r="L81" i="1"/>
  <c r="J81" i="1"/>
  <c r="V80" i="1"/>
  <c r="W80" i="1" s="1"/>
  <c r="K80" i="1"/>
  <c r="V79" i="1"/>
  <c r="W79" i="1" s="1"/>
  <c r="K79" i="1"/>
  <c r="V78" i="1"/>
  <c r="W78" i="1" s="1"/>
  <c r="K78" i="1"/>
  <c r="V77" i="1"/>
  <c r="W77" i="1" s="1"/>
  <c r="K77" i="1"/>
  <c r="K81" i="1" s="1"/>
  <c r="T74" i="1"/>
  <c r="R74" i="1"/>
  <c r="P74" i="1"/>
  <c r="M74" i="1"/>
  <c r="L74" i="1"/>
  <c r="V73" i="1"/>
  <c r="W73" i="1" s="1"/>
  <c r="K73" i="1"/>
  <c r="V72" i="1"/>
  <c r="W72" i="1" s="1"/>
  <c r="T69" i="1"/>
  <c r="R69" i="1"/>
  <c r="Q69" i="1"/>
  <c r="P69" i="1"/>
  <c r="O69" i="1"/>
  <c r="N69" i="1"/>
  <c r="M69" i="1"/>
  <c r="L69" i="1"/>
  <c r="J69" i="1"/>
  <c r="V68" i="1"/>
  <c r="W68" i="1" s="1"/>
  <c r="S67" i="1"/>
  <c r="S69" i="1" s="1"/>
  <c r="K67" i="1"/>
  <c r="V66" i="1"/>
  <c r="W66" i="1" s="1"/>
  <c r="U65" i="1"/>
  <c r="U69" i="1" s="1"/>
  <c r="K65" i="1"/>
  <c r="K69" i="1" s="1"/>
  <c r="U62" i="1"/>
  <c r="T62" i="1"/>
  <c r="R62" i="1"/>
  <c r="P62" i="1"/>
  <c r="M62" i="1"/>
  <c r="V61" i="1"/>
  <c r="W61" i="1" s="1"/>
  <c r="V60" i="1"/>
  <c r="W60" i="1" s="1"/>
  <c r="S59" i="1"/>
  <c r="S62" i="1" s="1"/>
  <c r="V58" i="1"/>
  <c r="W58" i="1" s="1"/>
  <c r="K58" i="1"/>
  <c r="Q55" i="1"/>
  <c r="P55" i="1"/>
  <c r="M55" i="1"/>
  <c r="J55" i="1"/>
  <c r="V54" i="1"/>
  <c r="W54" i="1" s="1"/>
  <c r="M54" i="1"/>
  <c r="K54" i="1"/>
  <c r="V53" i="1"/>
  <c r="W53" i="1" s="1"/>
  <c r="L53" i="1"/>
  <c r="L55" i="1" s="1"/>
  <c r="K53" i="1"/>
  <c r="K55" i="1" s="1"/>
  <c r="U50" i="1"/>
  <c r="T50" i="1"/>
  <c r="S50" i="1"/>
  <c r="Q50" i="1"/>
  <c r="P50" i="1"/>
  <c r="O50" i="1"/>
  <c r="M50" i="1"/>
  <c r="J50" i="1"/>
  <c r="V49" i="1"/>
  <c r="W49" i="1" s="1"/>
  <c r="R49" i="1"/>
  <c r="L49" i="1"/>
  <c r="L50" i="1" s="1"/>
  <c r="K49" i="1"/>
  <c r="R48" i="1"/>
  <c r="K48" i="1"/>
  <c r="K50" i="1" s="1"/>
  <c r="U45" i="1"/>
  <c r="T45" i="1"/>
  <c r="S45" i="1"/>
  <c r="Q45" i="1"/>
  <c r="P45" i="1"/>
  <c r="O45" i="1"/>
  <c r="M45" i="1"/>
  <c r="L45" i="1"/>
  <c r="J45" i="1"/>
  <c r="V44" i="1"/>
  <c r="W44" i="1" s="1"/>
  <c r="K44" i="1"/>
  <c r="R43" i="1"/>
  <c r="V43" i="1" s="1"/>
  <c r="W43" i="1" s="1"/>
  <c r="K43" i="1"/>
  <c r="V42" i="1"/>
  <c r="W42" i="1" s="1"/>
  <c r="K42" i="1"/>
  <c r="V41" i="1"/>
  <c r="W41" i="1" s="1"/>
  <c r="K41" i="1"/>
  <c r="R40" i="1"/>
  <c r="V40" i="1" s="1"/>
  <c r="W40" i="1" s="1"/>
  <c r="K40" i="1"/>
  <c r="K45" i="1" s="1"/>
  <c r="T37" i="1"/>
  <c r="S37" i="1"/>
  <c r="Q37" i="1"/>
  <c r="P37" i="1"/>
  <c r="O37" i="1"/>
  <c r="N37" i="1"/>
  <c r="K37" i="1"/>
  <c r="J37" i="1"/>
  <c r="U36" i="1"/>
  <c r="V36" i="1" s="1"/>
  <c r="W36" i="1" s="1"/>
  <c r="R36" i="1"/>
  <c r="K36" i="1"/>
  <c r="U35" i="1"/>
  <c r="R35" i="1"/>
  <c r="V35" i="1" s="1"/>
  <c r="W35" i="1" s="1"/>
  <c r="K35" i="1"/>
  <c r="U34" i="1"/>
  <c r="R34" i="1"/>
  <c r="V34" i="1" s="1"/>
  <c r="K34" i="1"/>
  <c r="M31" i="1"/>
  <c r="J31" i="1"/>
  <c r="V30" i="1"/>
  <c r="W30" i="1" s="1"/>
  <c r="K30" i="1"/>
  <c r="W29" i="1"/>
  <c r="V29" i="1"/>
  <c r="K29" i="1"/>
  <c r="V28" i="1"/>
  <c r="W28" i="1" s="1"/>
  <c r="K28" i="1"/>
  <c r="V27" i="1"/>
  <c r="L27" i="1"/>
  <c r="W27" i="1" s="1"/>
  <c r="K27" i="1"/>
  <c r="K31" i="1" s="1"/>
  <c r="V25" i="1"/>
  <c r="R25" i="1"/>
  <c r="M25" i="1"/>
  <c r="W24" i="1"/>
  <c r="W25" i="1" s="1"/>
  <c r="S22" i="1"/>
  <c r="R22" i="1"/>
  <c r="Q22" i="1"/>
  <c r="P22" i="1"/>
  <c r="O22" i="1"/>
  <c r="N22" i="1"/>
  <c r="M22" i="1"/>
  <c r="L22" i="1"/>
  <c r="J22" i="1"/>
  <c r="V21" i="1"/>
  <c r="W21" i="1" s="1"/>
  <c r="K21" i="1"/>
  <c r="V20" i="1"/>
  <c r="W20" i="1" s="1"/>
  <c r="V19" i="1"/>
  <c r="W19" i="1" s="1"/>
  <c r="V18" i="1"/>
  <c r="W18" i="1" s="1"/>
  <c r="U17" i="1"/>
  <c r="T17" i="1"/>
  <c r="T22" i="1" s="1"/>
  <c r="V16" i="1"/>
  <c r="K16" i="1"/>
  <c r="K22" i="1" s="1"/>
  <c r="T13" i="1"/>
  <c r="S13" i="1"/>
  <c r="R13" i="1"/>
  <c r="Q13" i="1"/>
  <c r="P13" i="1"/>
  <c r="O13" i="1"/>
  <c r="N13" i="1"/>
  <c r="N170" i="1" s="1"/>
  <c r="J13" i="1"/>
  <c r="V12" i="1"/>
  <c r="W12" i="1" s="1"/>
  <c r="V11" i="1"/>
  <c r="W11" i="1" s="1"/>
  <c r="K11" i="1"/>
  <c r="V10" i="1"/>
  <c r="W10" i="1" s="1"/>
  <c r="K10" i="1"/>
  <c r="U9" i="1"/>
  <c r="U13" i="1" s="1"/>
  <c r="M9" i="1"/>
  <c r="M13" i="1" s="1"/>
  <c r="K9" i="1"/>
  <c r="V8" i="1"/>
  <c r="L8" i="1"/>
  <c r="W8" i="1" s="1"/>
  <c r="K8" i="1"/>
  <c r="K13" i="1" s="1"/>
  <c r="W31" i="1" l="1"/>
  <c r="V37" i="1"/>
  <c r="V31" i="1"/>
  <c r="L31" i="1"/>
  <c r="U37" i="1"/>
  <c r="U170" i="1" s="1"/>
  <c r="W118" i="1"/>
  <c r="V123" i="1"/>
  <c r="O170" i="1"/>
  <c r="W90" i="1"/>
  <c r="W93" i="1" s="1"/>
  <c r="V104" i="1"/>
  <c r="T144" i="1"/>
  <c r="V140" i="1"/>
  <c r="V9" i="1"/>
  <c r="W9" i="1" s="1"/>
  <c r="S170" i="1"/>
  <c r="W148" i="1"/>
  <c r="V152" i="1"/>
  <c r="W104" i="1"/>
  <c r="W13" i="1"/>
  <c r="W127" i="1"/>
  <c r="M129" i="1"/>
  <c r="R50" i="1"/>
  <c r="V48" i="1"/>
  <c r="W132" i="1"/>
  <c r="W144" i="1"/>
  <c r="W159" i="1"/>
  <c r="M160" i="1"/>
  <c r="W160" i="1" s="1"/>
  <c r="V144" i="1"/>
  <c r="W45" i="1"/>
  <c r="V125" i="1"/>
  <c r="W125" i="1" s="1"/>
  <c r="P170" i="1"/>
  <c r="W55" i="1"/>
  <c r="V55" i="1"/>
  <c r="V59" i="1"/>
  <c r="W59" i="1" s="1"/>
  <c r="V62" i="1"/>
  <c r="V65" i="1"/>
  <c r="W116" i="1"/>
  <c r="W123" i="1"/>
  <c r="R140" i="1"/>
  <c r="W168" i="1"/>
  <c r="M169" i="1"/>
  <c r="W169" i="1" s="1"/>
  <c r="J170" i="1"/>
  <c r="V17" i="1"/>
  <c r="W17" i="1" s="1"/>
  <c r="V96" i="1"/>
  <c r="V98" i="1" s="1"/>
  <c r="M109" i="1"/>
  <c r="W107" i="1"/>
  <c r="W109" i="1" s="1"/>
  <c r="L13" i="1"/>
  <c r="L170" i="1" s="1"/>
  <c r="T170" i="1"/>
  <c r="Q170" i="1"/>
  <c r="W34" i="1"/>
  <c r="R37" i="1"/>
  <c r="R45" i="1"/>
  <c r="V45" i="1"/>
  <c r="V67" i="1"/>
  <c r="W67" i="1" s="1"/>
  <c r="W74" i="1"/>
  <c r="W81" i="1"/>
  <c r="S98" i="1"/>
  <c r="W128" i="1"/>
  <c r="W133" i="1"/>
  <c r="U22" i="1"/>
  <c r="V74" i="1"/>
  <c r="V81" i="1"/>
  <c r="V93" i="1"/>
  <c r="W16" i="1"/>
  <c r="W96" i="1" l="1"/>
  <c r="V22" i="1"/>
  <c r="V13" i="1"/>
  <c r="M170" i="1"/>
  <c r="R170" i="1"/>
  <c r="W37" i="1"/>
  <c r="V69" i="1"/>
  <c r="W65" i="1"/>
  <c r="W98" i="1"/>
  <c r="W140" i="1"/>
  <c r="V129" i="1"/>
  <c r="W48" i="1"/>
  <c r="V50" i="1"/>
  <c r="W22" i="1"/>
  <c r="W62" i="1"/>
  <c r="M171" i="1"/>
  <c r="W119" i="1"/>
  <c r="W152" i="1"/>
  <c r="W129" i="1"/>
  <c r="V170" i="1" l="1"/>
  <c r="W170" i="1" s="1"/>
  <c r="W171" i="1" s="1"/>
  <c r="V171" i="1"/>
  <c r="W69" i="1"/>
  <c r="W50" i="1"/>
</calcChain>
</file>

<file path=xl/sharedStrings.xml><?xml version="1.0" encoding="utf-8"?>
<sst xmlns="http://schemas.openxmlformats.org/spreadsheetml/2006/main" count="283" uniqueCount="257">
  <si>
    <t xml:space="preserve"> </t>
  </si>
  <si>
    <t xml:space="preserve">EJECUCION PRESUPUESTARIA ACUMULADA  </t>
  </si>
  <si>
    <t>CORRESPONDIENTE A LOS MESES ENERO- AGOSTO, 2017</t>
  </si>
  <si>
    <t>VALORES EN RD$</t>
  </si>
  <si>
    <t>CUADRO NO. 2</t>
  </si>
  <si>
    <t>IT</t>
  </si>
  <si>
    <t>SUB CUENTA</t>
  </si>
  <si>
    <t>DESCRIPCION</t>
  </si>
  <si>
    <t>MISPAS</t>
  </si>
  <si>
    <t>CONAPE</t>
  </si>
  <si>
    <t>FONDOS ADIC.</t>
  </si>
  <si>
    <t>PRESUPUESTO INICIAL</t>
  </si>
  <si>
    <t>PRESUPUESTO DISPONIBLE</t>
  </si>
  <si>
    <t>MODIF. PRESUP. DISMINUIR</t>
  </si>
  <si>
    <t>MODIF. PRESUP. AUMENTAR</t>
  </si>
  <si>
    <t>EJECUTADO ENERO</t>
  </si>
  <si>
    <t>EJECUTADO FEBRERO</t>
  </si>
  <si>
    <t>EJECUTADO MARZO</t>
  </si>
  <si>
    <t>EJECUTADO ABRIL</t>
  </si>
  <si>
    <t>EJECUTADO MAYO</t>
  </si>
  <si>
    <t>EJECUTADO JUNIO</t>
  </si>
  <si>
    <t>EJECUTADO JULIO</t>
  </si>
  <si>
    <t>EJECUTADO AGOSTO</t>
  </si>
  <si>
    <t>TOTAL EJECUTADO</t>
  </si>
  <si>
    <t>TOTAL DISPONIBLE</t>
  </si>
  <si>
    <t>2.1.1</t>
  </si>
  <si>
    <t>REMUNERACIONES</t>
  </si>
  <si>
    <t>2.1.1.1.01</t>
  </si>
  <si>
    <t>SUELDOS FIJOS</t>
  </si>
  <si>
    <t>2.1.1.2.01</t>
  </si>
  <si>
    <t>SUELDOS PERSONAL CONTRATADO</t>
  </si>
  <si>
    <t>2.1.1.4.01</t>
  </si>
  <si>
    <t>SUELDO ANUAL  No. 13</t>
  </si>
  <si>
    <t>2.1.1.5.03</t>
  </si>
  <si>
    <t>PRESTACION LABORAL POR DESVINCULACION</t>
  </si>
  <si>
    <t>2.1.1.5.04</t>
  </si>
  <si>
    <t>PROPORCION DE VACACIONES NO DISFRUTADAS</t>
  </si>
  <si>
    <t>SUB-TOTAL ESTE OBJETAL</t>
  </si>
  <si>
    <t>2.1.2</t>
  </si>
  <si>
    <t>SOBRESUELDOS</t>
  </si>
  <si>
    <t>2.1.2.1.01</t>
  </si>
  <si>
    <t>PRIMAS POR ANTIGÜEDAD</t>
  </si>
  <si>
    <t>2.1.2.2.05</t>
  </si>
  <si>
    <t>COMPENSACION SERVICIOS DE SEGURIDAD</t>
  </si>
  <si>
    <t>2.1.2.2.06</t>
  </si>
  <si>
    <t>COMPENSACION POR RESULTADOS</t>
  </si>
  <si>
    <t>2.1.2.2.07</t>
  </si>
  <si>
    <t>COMPENSACION POR DISTANCIA</t>
  </si>
  <si>
    <t>2.1.2.2.08</t>
  </si>
  <si>
    <t>COMPENSACIONES ESPECIALES</t>
  </si>
  <si>
    <t>2.1.2.2.09</t>
  </si>
  <si>
    <t>BONO POR DESEMPEÑO</t>
  </si>
  <si>
    <t>2.1.3</t>
  </si>
  <si>
    <t>DIETAS Y GASTOS DE REPRESENTACION</t>
  </si>
  <si>
    <t>2.1.3.1.01</t>
  </si>
  <si>
    <t>DIETAS EN EL PAIS</t>
  </si>
  <si>
    <t>2.1.4</t>
  </si>
  <si>
    <t>GRATIFICACIONES Y BONIFICACIONES</t>
  </si>
  <si>
    <t>2.1.4.2.01</t>
  </si>
  <si>
    <t>BONO ESCOLAR</t>
  </si>
  <si>
    <t>2.1.4.2.02</t>
  </si>
  <si>
    <t>GRATIFICACIONES POR PASANTIAS</t>
  </si>
  <si>
    <t>2.1.4.2.03</t>
  </si>
  <si>
    <t>GRATIFICACIONES POR ANIVERSARIO DE LA INST.</t>
  </si>
  <si>
    <t>2.1.4.2.04</t>
  </si>
  <si>
    <t>OTRAS GRATIFICACIONES</t>
  </si>
  <si>
    <t>2.1.5</t>
  </si>
  <si>
    <t>CONTRIBUCIONES A LA SEGURIDAD SOCIAL</t>
  </si>
  <si>
    <t>2.1.5.1.01</t>
  </si>
  <si>
    <t>CONTB AL SEGURO DE SALUD</t>
  </si>
  <si>
    <t>2.1.5.2.01</t>
  </si>
  <si>
    <t>CONTRB AL SEGURO DE PENSIONES</t>
  </si>
  <si>
    <t>2.1.5.3.01</t>
  </si>
  <si>
    <t>CONTRIB AL SEGURO DE RIESGO LABORAL</t>
  </si>
  <si>
    <t>2.2.1</t>
  </si>
  <si>
    <t>SERVICIOS BASICOS</t>
  </si>
  <si>
    <t>2.2.1.3.01</t>
  </si>
  <si>
    <t>TELEFONO LOCAL</t>
  </si>
  <si>
    <t>2.2.1.4.01</t>
  </si>
  <si>
    <t>TELEFAX Y CORREOS</t>
  </si>
  <si>
    <t>2.2.1.5.01</t>
  </si>
  <si>
    <t>SERV. DE INTERNET Y TV POR CABLE</t>
  </si>
  <si>
    <t>2.2.1.6.01</t>
  </si>
  <si>
    <t>ENERGIA ELECTRICA</t>
  </si>
  <si>
    <t>2.2.1.6.02</t>
  </si>
  <si>
    <t>ELECTRICIDAD NO CORTABLE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</si>
  <si>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</si>
  <si>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</si>
  <si>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</si>
  <si>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</si>
  <si>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</si>
  <si>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</si>
  <si>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2.2.3</t>
  </si>
  <si>
    <t>VIATICOS</t>
  </si>
  <si>
    <t>2.2.3.1.01</t>
  </si>
  <si>
    <t>VIATICOS DENTRO DEL PAIS</t>
  </si>
  <si>
    <t>2.2.3.2.01</t>
  </si>
  <si>
    <t>VIATICOS FUERA DEL PAIS</t>
  </si>
  <si>
    <t>2.2.4</t>
  </si>
  <si>
    <t>TRANSPORTE  Y ALMACENAJE</t>
  </si>
  <si>
    <t>2.2.4.1.01</t>
  </si>
  <si>
    <t>PASAJES</t>
  </si>
  <si>
    <t>2.2.4.2.01</t>
  </si>
  <si>
    <t>FLETES</t>
  </si>
  <si>
    <t>2.2.4.3.01</t>
  </si>
  <si>
    <t>ALMACENAJE</t>
  </si>
  <si>
    <t>2.2.4.4.01</t>
  </si>
  <si>
    <t>PEAJES</t>
  </si>
  <si>
    <t>2.2.5</t>
  </si>
  <si>
    <t>ALQUILERES Y RENTAS</t>
  </si>
  <si>
    <t>2.2.5.1.01</t>
  </si>
  <si>
    <t>ALQUILERES Y RENTA DE EDIFICIOS Y LOCALES</t>
  </si>
  <si>
    <t>2.2.5.3.03</t>
  </si>
  <si>
    <t>ALQUILER DE EQUIPO DE COMUNICACIÓN</t>
  </si>
  <si>
    <t>2.2.5.4.01</t>
  </si>
  <si>
    <t>ALQUILER DE EQS. DE TRANSP. TRAC. Y ELEV.</t>
  </si>
  <si>
    <t>2.2.5.8.01</t>
  </si>
  <si>
    <t>OTROS ALQUILERES</t>
  </si>
  <si>
    <t>2.2.6</t>
  </si>
  <si>
    <t>SEGUROS</t>
  </si>
  <si>
    <t>2.2.6.1.01</t>
  </si>
  <si>
    <t>SEGUROS BIENES E INMUEBLES</t>
  </si>
  <si>
    <t>2.2.6.2.01</t>
  </si>
  <si>
    <t>SEGURO DE BIENES MUEBLES</t>
  </si>
  <si>
    <t>2.2.7</t>
  </si>
  <si>
    <t>SERV. DE CONSERV. RESPS. MENORES E INSTS. TEMPS.</t>
  </si>
  <si>
    <t>2.2.7.1.01</t>
  </si>
  <si>
    <t>OBRAS MENORES EN EDIFICACIONES</t>
  </si>
  <si>
    <t>2.2.7.2.01</t>
  </si>
  <si>
    <t>MANT Y REP. MUEBLES Y EQUIP. DE OFICINA</t>
  </si>
  <si>
    <t>2.2.7.2.02</t>
  </si>
  <si>
    <t>MANT. Y REP. DE EQUIPO P/COMP.</t>
  </si>
  <si>
    <t>2.2.7.2.06</t>
  </si>
  <si>
    <t>MANT. Y REP. DE EQUIPOS DE TRANSP.,TR Y EL.</t>
  </si>
  <si>
    <t>2.2.8</t>
  </si>
  <si>
    <t>OTROS SERVICIOS NO INCLUIDOS LOS ANTERIORES</t>
  </si>
  <si>
    <t>2.2.8.2.01</t>
  </si>
  <si>
    <t>COMISIONES Y GASTOS BANCARIOS</t>
  </si>
  <si>
    <t>2.2.8.3.01</t>
  </si>
  <si>
    <t>SERVICIOS SANITARIOS Y VETERINARIOS</t>
  </si>
  <si>
    <t>2.2.8.5.01</t>
  </si>
  <si>
    <t>FUMIGACION</t>
  </si>
  <si>
    <t>2.2.8.5.03</t>
  </si>
  <si>
    <t>LIMPIEZA E HIGIENE</t>
  </si>
  <si>
    <t>2.2.8.6.01</t>
  </si>
  <si>
    <t>EVENTOS GENERALES</t>
  </si>
  <si>
    <t>2.2.8.7.02</t>
  </si>
  <si>
    <t>SERVICIOS JURIDICOS</t>
  </si>
  <si>
    <t>2.2.8.7.06</t>
  </si>
  <si>
    <t>OTROS SERVICIOS TECNICOS PROFESIONALES</t>
  </si>
  <si>
    <t>2.2.8.8.01</t>
  </si>
  <si>
    <t>IMPUESTOS</t>
  </si>
  <si>
    <t>2.2.8.8.03</t>
  </si>
  <si>
    <t>TASAS</t>
  </si>
  <si>
    <t>2.3.1</t>
  </si>
  <si>
    <t>ALIMENTOS Y PRODUCTOS AGROFORESTALES</t>
  </si>
  <si>
    <t>2.3.1.1.01</t>
  </si>
  <si>
    <t>ALIMENTOS Y BEBIDAS PARA PERSONAS</t>
  </si>
  <si>
    <t>2.3.1.3.03</t>
  </si>
  <si>
    <t>PRODUCTOS FORESTALES</t>
  </si>
  <si>
    <t>2.3.2</t>
  </si>
  <si>
    <t>TEXTILES Y VESTUARIOS</t>
  </si>
  <si>
    <t>2.3.2.2.01</t>
  </si>
  <si>
    <t>ACABADOS TEXTILES</t>
  </si>
  <si>
    <t>2.3.2.1.01</t>
  </si>
  <si>
    <t>HILADOS Y TELAS</t>
  </si>
  <si>
    <t>2.3.2.3.01</t>
  </si>
  <si>
    <t>PRENDAS DE VESTIR</t>
  </si>
  <si>
    <t>2.3.3</t>
  </si>
  <si>
    <t>PRODUCTOS DE PAPEL , CARTON E IMPRESOS</t>
  </si>
  <si>
    <t>2.3.3.2.01</t>
  </si>
  <si>
    <t>PRODUCTOS DE PAPEL Y CARTON</t>
  </si>
  <si>
    <t>2.3.3.4.01</t>
  </si>
  <si>
    <t>LIBROS, REVISTAS Y PERIODICOS</t>
  </si>
  <si>
    <t>2.3.4</t>
  </si>
  <si>
    <t>PRODUCTOS FARMACEUTICOS</t>
  </si>
  <si>
    <t>2.3.4.1.01</t>
  </si>
  <si>
    <t>PRODUCTOS MEDICINALES PARA USO HUMANO</t>
  </si>
  <si>
    <t>2.3.5</t>
  </si>
  <si>
    <t>PRODUCTOS DE CUERO, CAUCHO Y PLASTICO</t>
  </si>
  <si>
    <t>2.3.5.3.01</t>
  </si>
  <si>
    <t>LLANTAS Y NEUMATICOS</t>
  </si>
  <si>
    <t>2.3.5.4.01</t>
  </si>
  <si>
    <t>ARTICULOS CAUCHOS</t>
  </si>
  <si>
    <t>2.3.5.5.01</t>
  </si>
  <si>
    <t>ARTICULOS DE PLASTICO</t>
  </si>
  <si>
    <t>2.3.6</t>
  </si>
  <si>
    <t>PRODUCTOS DE MINERIA METALICOS Y  NO METALICOS</t>
  </si>
  <si>
    <t>2.3.6.3.01</t>
  </si>
  <si>
    <t>ARTICULOS FERROSO</t>
  </si>
  <si>
    <t>2.3.6.3.03</t>
  </si>
  <si>
    <t>ESTRUCTURAS METALICAS ACABADAS</t>
  </si>
  <si>
    <t>2.3.7</t>
  </si>
  <si>
    <t>COMBUSTIBLE, LUBR., PROD. QUIMICOS Y CONEX</t>
  </si>
  <si>
    <t>2.3.7.1.01</t>
  </si>
  <si>
    <t>GASOLINA</t>
  </si>
  <si>
    <t>2.3.7.1.02</t>
  </si>
  <si>
    <t>GASOIL</t>
  </si>
  <si>
    <t>2.3.7.2.03</t>
  </si>
  <si>
    <t>PRODUCTOS QUIMICOS DE USO PERSONAL</t>
  </si>
  <si>
    <t>2.3.7.2.05</t>
  </si>
  <si>
    <t>INSECTICIDAS, FUMIGANTES Y OTROS</t>
  </si>
  <si>
    <t>2.3.9</t>
  </si>
  <si>
    <t>PRODUCTOS Y UTILES VARIOS</t>
  </si>
  <si>
    <t>2.3.9.1.01</t>
  </si>
  <si>
    <t>MATERIAL PARA LIMPIEZA</t>
  </si>
  <si>
    <t>2.3.9.2.01</t>
  </si>
  <si>
    <t>UTILES DE ESCRITORIO, OF.INFORMAT. ENS.</t>
  </si>
  <si>
    <t>2.3.9.3.01</t>
  </si>
  <si>
    <t>UTILES MENORES MEDICO QUIRURGICOS</t>
  </si>
  <si>
    <t>2.3.9.5.01</t>
  </si>
  <si>
    <t>UTILES DE COCINA Y COMEDOR</t>
  </si>
  <si>
    <t>2.3.9.6.01</t>
  </si>
  <si>
    <t>PRODUCTOS ELECTRICOS Y AFINES</t>
  </si>
  <si>
    <t>2.3.9.7.01</t>
  </si>
  <si>
    <t>PRODUCTOS Y UTILES VETERINARIOS</t>
  </si>
  <si>
    <t>2.3.9.9.01</t>
  </si>
  <si>
    <t>PRODUCTOS Y UTILES VARIOS( N.I. P)</t>
  </si>
  <si>
    <t>2.3.9.9.03</t>
  </si>
  <si>
    <t>BONO ASISTENCIA SOCIAL</t>
  </si>
  <si>
    <t>2.4.1</t>
  </si>
  <si>
    <t>TRANSFERENCIAS CORRIENTES AL SECTOR PRIVADO</t>
  </si>
  <si>
    <t>2.4.1.2.01</t>
  </si>
  <si>
    <t>AYUDAS Y DONACIONES PROGR. A PERS. Y HOG.</t>
  </si>
  <si>
    <t>2.6.1</t>
  </si>
  <si>
    <t>MOBILIARIOS Y EQUIPOS</t>
  </si>
  <si>
    <t>2.6.1.1.0.1</t>
  </si>
  <si>
    <t>MUEBLES DE OFICINA Y ESTANTERIAS</t>
  </si>
  <si>
    <t>2.6.1.3.0.1</t>
  </si>
  <si>
    <t>EQUIPO COMPUTACIONAL</t>
  </si>
  <si>
    <t>2.6.1.4.0.1</t>
  </si>
  <si>
    <t>ELECTRODOMESTICOS</t>
  </si>
  <si>
    <t>2.6.1.9.01</t>
  </si>
  <si>
    <t>OTROS MOBILIARIOS Y EQUIPOS NO IDENTS.</t>
  </si>
  <si>
    <t>2.6.2.1.01</t>
  </si>
  <si>
    <t>EQUIPOS Y APARATOS AUDIO VISUAL</t>
  </si>
  <si>
    <t>2.6.3</t>
  </si>
  <si>
    <t>EQUIPO  E INSTRUMENTAL, CIENTIFICO Y LABORATORIO</t>
  </si>
  <si>
    <t>2.6.3.1.0.1</t>
  </si>
  <si>
    <t>EQUIPO MEDICO Y LABORATORIO</t>
  </si>
  <si>
    <t>2.6.4</t>
  </si>
  <si>
    <t>VEHICULOS, EQUIPOS DE TRANSP. TRACCION Y ELEV.</t>
  </si>
  <si>
    <t>2.6.4.1.01</t>
  </si>
  <si>
    <t>AUTOMOVILES Y CAMIONES</t>
  </si>
  <si>
    <t>2.6.5</t>
  </si>
  <si>
    <t>MAQUINARIAS Y OTROS EQUIPOS Y HERRAMIENTAS</t>
  </si>
  <si>
    <t>2.6.5.5.01</t>
  </si>
  <si>
    <t>EQUIPO DE COMUNICACIÓN, TELECOM. Y SEÑALAMIENTO</t>
  </si>
  <si>
    <t>2.6.5.6.01</t>
  </si>
  <si>
    <t>EQUIPOS DE GENERACION ELECTRICA</t>
  </si>
  <si>
    <t>2.6.5.8.0.1</t>
  </si>
  <si>
    <t>OTROS EQUIPOS</t>
  </si>
  <si>
    <t>2.6.8</t>
  </si>
  <si>
    <t>BIENES INTANGIBLES</t>
  </si>
  <si>
    <t>2.6.8.3.01</t>
  </si>
  <si>
    <t>PROGRAMAS DE INFORMATICA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</si>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</sst>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\-#,##0\ 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164" fontId="6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165" fontId="2" fillId="3" borderId="2" xfId="1" applyNumberFormat="1" applyFont="1" applyFill="1" applyBorder="1" applyAlignment="1">
      <alignment horizontal="center" wrapText="1"/>
    </xf>
    <xf numFmtId="165" fontId="7" fillId="3" borderId="2" xfId="1" applyNumberFormat="1" applyFont="1" applyFill="1" applyBorder="1" applyAlignment="1">
      <alignment horizontal="center" wrapText="1"/>
    </xf>
    <xf numFmtId="165" fontId="2" fillId="3" borderId="3" xfId="1" applyNumberFormat="1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 wrapText="1"/>
    </xf>
    <xf numFmtId="165" fontId="2" fillId="4" borderId="5" xfId="1" applyNumberFormat="1" applyFont="1" applyFill="1" applyBorder="1" applyAlignment="1">
      <alignment horizontal="center" wrapText="1"/>
    </xf>
    <xf numFmtId="165" fontId="2" fillId="4" borderId="5" xfId="1" applyNumberFormat="1" applyFont="1" applyFill="1" applyBorder="1" applyAlignment="1">
      <alignment horizontal="left" wrapText="1"/>
    </xf>
    <xf numFmtId="165" fontId="7" fillId="4" borderId="5" xfId="1" applyNumberFormat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165" fontId="2" fillId="4" borderId="6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9" fillId="4" borderId="7" xfId="1" applyNumberFormat="1" applyFont="1" applyFill="1" applyBorder="1" applyAlignment="1">
      <alignment horizontal="center"/>
    </xf>
    <xf numFmtId="165" fontId="9" fillId="4" borderId="7" xfId="1" applyNumberFormat="1" applyFont="1" applyFill="1" applyBorder="1"/>
    <xf numFmtId="4" fontId="9" fillId="4" borderId="7" xfId="0" applyNumberFormat="1" applyFont="1" applyFill="1" applyBorder="1"/>
    <xf numFmtId="4" fontId="10" fillId="4" borderId="7" xfId="0" applyNumberFormat="1" applyFont="1" applyFill="1" applyBorder="1"/>
    <xf numFmtId="43" fontId="11" fillId="0" borderId="7" xfId="1" applyFont="1" applyBorder="1"/>
    <xf numFmtId="43" fontId="3" fillId="0" borderId="7" xfId="1" applyFont="1" applyBorder="1"/>
    <xf numFmtId="43" fontId="3" fillId="0" borderId="7" xfId="0" applyNumberFormat="1" applyFont="1" applyBorder="1"/>
    <xf numFmtId="43" fontId="3" fillId="0" borderId="0" xfId="0" applyNumberFormat="1" applyFont="1"/>
    <xf numFmtId="0" fontId="9" fillId="4" borderId="8" xfId="0" applyFont="1" applyFill="1" applyBorder="1" applyAlignment="1">
      <alignment horizontal="center"/>
    </xf>
    <xf numFmtId="164" fontId="9" fillId="4" borderId="8" xfId="1" applyNumberFormat="1" applyFont="1" applyFill="1" applyBorder="1" applyAlignment="1">
      <alignment horizontal="center"/>
    </xf>
    <xf numFmtId="165" fontId="9" fillId="4" borderId="8" xfId="1" applyNumberFormat="1" applyFont="1" applyFill="1" applyBorder="1"/>
    <xf numFmtId="4" fontId="9" fillId="4" borderId="8" xfId="0" applyNumberFormat="1" applyFont="1" applyFill="1" applyBorder="1"/>
    <xf numFmtId="4" fontId="10" fillId="4" borderId="8" xfId="0" applyNumberFormat="1" applyFont="1" applyFill="1" applyBorder="1"/>
    <xf numFmtId="43" fontId="11" fillId="0" borderId="8" xfId="1" applyFont="1" applyBorder="1"/>
    <xf numFmtId="43" fontId="3" fillId="0" borderId="8" xfId="1" applyFont="1" applyBorder="1"/>
    <xf numFmtId="43" fontId="3" fillId="0" borderId="8" xfId="0" applyNumberFormat="1" applyFont="1" applyBorder="1"/>
    <xf numFmtId="43" fontId="3" fillId="0" borderId="0" xfId="1" applyFont="1"/>
    <xf numFmtId="0" fontId="9" fillId="4" borderId="9" xfId="0" applyFont="1" applyFill="1" applyBorder="1" applyAlignment="1">
      <alignment horizontal="center"/>
    </xf>
    <xf numFmtId="164" fontId="9" fillId="4" borderId="9" xfId="1" applyNumberFormat="1" applyFont="1" applyFill="1" applyBorder="1" applyAlignment="1">
      <alignment horizontal="center"/>
    </xf>
    <xf numFmtId="165" fontId="9" fillId="4" borderId="9" xfId="1" applyNumberFormat="1" applyFont="1" applyFill="1" applyBorder="1"/>
    <xf numFmtId="4" fontId="9" fillId="4" borderId="9" xfId="0" applyNumberFormat="1" applyFont="1" applyFill="1" applyBorder="1"/>
    <xf numFmtId="4" fontId="10" fillId="4" borderId="9" xfId="0" applyNumberFormat="1" applyFont="1" applyFill="1" applyBorder="1"/>
    <xf numFmtId="43" fontId="11" fillId="0" borderId="9" xfId="1" applyFont="1" applyBorder="1"/>
    <xf numFmtId="43" fontId="3" fillId="0" borderId="9" xfId="1" applyFont="1" applyBorder="1"/>
    <xf numFmtId="43" fontId="3" fillId="0" borderId="9" xfId="0" applyNumberFormat="1" applyFont="1" applyBorder="1"/>
    <xf numFmtId="0" fontId="6" fillId="4" borderId="4" xfId="0" applyFont="1" applyFill="1" applyBorder="1" applyAlignment="1">
      <alignment horizontal="center"/>
    </xf>
    <xf numFmtId="164" fontId="6" fillId="4" borderId="5" xfId="1" applyNumberFormat="1" applyFont="1" applyFill="1" applyBorder="1" applyAlignment="1">
      <alignment horizontal="center"/>
    </xf>
    <xf numFmtId="165" fontId="6" fillId="4" borderId="5" xfId="1" applyNumberFormat="1" applyFont="1" applyFill="1" applyBorder="1"/>
    <xf numFmtId="4" fontId="6" fillId="4" borderId="5" xfId="0" applyNumberFormat="1" applyFont="1" applyFill="1" applyBorder="1"/>
    <xf numFmtId="4" fontId="7" fillId="4" borderId="5" xfId="0" applyNumberFormat="1" applyFont="1" applyFill="1" applyBorder="1"/>
    <xf numFmtId="43" fontId="8" fillId="0" borderId="5" xfId="1" applyFont="1" applyBorder="1"/>
    <xf numFmtId="43" fontId="12" fillId="0" borderId="5" xfId="1" applyFont="1" applyBorder="1"/>
    <xf numFmtId="43" fontId="12" fillId="0" borderId="5" xfId="0" applyNumberFormat="1" applyFont="1" applyBorder="1"/>
    <xf numFmtId="43" fontId="12" fillId="0" borderId="6" xfId="0" applyNumberFormat="1" applyFont="1" applyBorder="1"/>
    <xf numFmtId="0" fontId="6" fillId="4" borderId="10" xfId="0" applyFont="1" applyFill="1" applyBorder="1" applyAlignment="1">
      <alignment horizontal="center"/>
    </xf>
    <xf numFmtId="164" fontId="6" fillId="4" borderId="11" xfId="1" applyNumberFormat="1" applyFont="1" applyFill="1" applyBorder="1" applyAlignment="1">
      <alignment horizontal="center"/>
    </xf>
    <xf numFmtId="165" fontId="6" fillId="4" borderId="11" xfId="1" applyNumberFormat="1" applyFont="1" applyFill="1" applyBorder="1"/>
    <xf numFmtId="4" fontId="6" fillId="4" borderId="11" xfId="0" applyNumberFormat="1" applyFont="1" applyFill="1" applyBorder="1"/>
    <xf numFmtId="4" fontId="7" fillId="4" borderId="11" xfId="0" applyNumberFormat="1" applyFont="1" applyFill="1" applyBorder="1"/>
    <xf numFmtId="43" fontId="8" fillId="0" borderId="11" xfId="1" applyFont="1" applyBorder="1"/>
    <xf numFmtId="43" fontId="12" fillId="0" borderId="11" xfId="1" applyFont="1" applyBorder="1"/>
    <xf numFmtId="43" fontId="12" fillId="0" borderId="11" xfId="0" applyNumberFormat="1" applyFont="1" applyBorder="1"/>
    <xf numFmtId="43" fontId="12" fillId="0" borderId="12" xfId="0" applyNumberFormat="1" applyFont="1" applyBorder="1"/>
    <xf numFmtId="43" fontId="3" fillId="0" borderId="11" xfId="1" applyFont="1" applyBorder="1"/>
    <xf numFmtId="0" fontId="6" fillId="4" borderId="13" xfId="0" applyFont="1" applyFill="1" applyBorder="1" applyAlignment="1">
      <alignment horizontal="center"/>
    </xf>
    <xf numFmtId="43" fontId="12" fillId="0" borderId="14" xfId="0" applyNumberFormat="1" applyFont="1" applyBorder="1"/>
    <xf numFmtId="0" fontId="9" fillId="4" borderId="1" xfId="0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165" fontId="6" fillId="4" borderId="2" xfId="1" applyNumberFormat="1" applyFont="1" applyFill="1" applyBorder="1"/>
    <xf numFmtId="4" fontId="6" fillId="4" borderId="2" xfId="0" applyNumberFormat="1" applyFont="1" applyFill="1" applyBorder="1"/>
    <xf numFmtId="4" fontId="7" fillId="4" borderId="2" xfId="0" applyNumberFormat="1" applyFont="1" applyFill="1" applyBorder="1"/>
    <xf numFmtId="43" fontId="8" fillId="0" borderId="2" xfId="1" applyFont="1" applyBorder="1"/>
    <xf numFmtId="43" fontId="11" fillId="0" borderId="2" xfId="1" applyFont="1" applyBorder="1"/>
    <xf numFmtId="43" fontId="12" fillId="0" borderId="2" xfId="1" applyFont="1" applyBorder="1"/>
    <xf numFmtId="43" fontId="12" fillId="0" borderId="2" xfId="0" applyNumberFormat="1" applyFont="1" applyBorder="1"/>
    <xf numFmtId="43" fontId="12" fillId="0" borderId="3" xfId="0" applyNumberFormat="1" applyFont="1" applyBorder="1"/>
    <xf numFmtId="0" fontId="6" fillId="4" borderId="1" xfId="0" applyFont="1" applyFill="1" applyBorder="1" applyAlignment="1">
      <alignment horizontal="center"/>
    </xf>
    <xf numFmtId="0" fontId="3" fillId="4" borderId="0" xfId="0" applyFont="1" applyFill="1"/>
    <xf numFmtId="43" fontId="3" fillId="0" borderId="11" xfId="0" applyNumberFormat="1" applyFont="1" applyBorder="1"/>
    <xf numFmtId="0" fontId="9" fillId="4" borderId="4" xfId="0" applyFont="1" applyFill="1" applyBorder="1" applyAlignment="1">
      <alignment horizontal="center"/>
    </xf>
    <xf numFmtId="164" fontId="9" fillId="4" borderId="5" xfId="1" applyNumberFormat="1" applyFont="1" applyFill="1" applyBorder="1" applyAlignment="1">
      <alignment horizontal="center"/>
    </xf>
    <xf numFmtId="165" fontId="9" fillId="4" borderId="5" xfId="1" applyNumberFormat="1" applyFont="1" applyFill="1" applyBorder="1"/>
    <xf numFmtId="4" fontId="10" fillId="4" borderId="5" xfId="0" applyNumberFormat="1" applyFont="1" applyFill="1" applyBorder="1"/>
    <xf numFmtId="43" fontId="11" fillId="0" borderId="5" xfId="1" applyFont="1" applyBorder="1"/>
    <xf numFmtId="43" fontId="3" fillId="0" borderId="5" xfId="1" applyFont="1" applyBorder="1"/>
    <xf numFmtId="0" fontId="9" fillId="4" borderId="11" xfId="0" applyFont="1" applyFill="1" applyBorder="1" applyAlignment="1">
      <alignment horizontal="center"/>
    </xf>
    <xf numFmtId="164" fontId="9" fillId="4" borderId="11" xfId="1" applyNumberFormat="1" applyFont="1" applyFill="1" applyBorder="1" applyAlignment="1">
      <alignment horizontal="center"/>
    </xf>
    <xf numFmtId="165" fontId="9" fillId="4" borderId="11" xfId="1" applyNumberFormat="1" applyFont="1" applyFill="1" applyBorder="1"/>
    <xf numFmtId="4" fontId="9" fillId="4" borderId="11" xfId="0" applyNumberFormat="1" applyFont="1" applyFill="1" applyBorder="1"/>
    <xf numFmtId="4" fontId="10" fillId="4" borderId="11" xfId="0" applyNumberFormat="1" applyFont="1" applyFill="1" applyBorder="1"/>
    <xf numFmtId="43" fontId="11" fillId="0" borderId="11" xfId="1" applyFont="1" applyBorder="1"/>
    <xf numFmtId="43" fontId="11" fillId="4" borderId="7" xfId="1" applyFont="1" applyFill="1" applyBorder="1"/>
    <xf numFmtId="43" fontId="11" fillId="4" borderId="8" xfId="1" applyFont="1" applyFill="1" applyBorder="1"/>
    <xf numFmtId="43" fontId="11" fillId="4" borderId="9" xfId="1" applyFont="1" applyFill="1" applyBorder="1"/>
    <xf numFmtId="43" fontId="8" fillId="4" borderId="5" xfId="1" applyFont="1" applyFill="1" applyBorder="1"/>
    <xf numFmtId="43" fontId="8" fillId="4" borderId="11" xfId="1" applyFont="1" applyFill="1" applyBorder="1"/>
    <xf numFmtId="0" fontId="6" fillId="4" borderId="7" xfId="0" applyFont="1" applyFill="1" applyBorder="1" applyAlignment="1">
      <alignment horizontal="center"/>
    </xf>
    <xf numFmtId="164" fontId="6" fillId="4" borderId="7" xfId="1" applyNumberFormat="1" applyFont="1" applyFill="1" applyBorder="1" applyAlignment="1">
      <alignment horizontal="center"/>
    </xf>
    <xf numFmtId="165" fontId="6" fillId="4" borderId="7" xfId="1" applyNumberFormat="1" applyFont="1" applyFill="1" applyBorder="1"/>
    <xf numFmtId="4" fontId="6" fillId="4" borderId="7" xfId="0" applyNumberFormat="1" applyFont="1" applyFill="1" applyBorder="1"/>
    <xf numFmtId="4" fontId="7" fillId="4" borderId="7" xfId="0" applyNumberFormat="1" applyFont="1" applyFill="1" applyBorder="1"/>
    <xf numFmtId="43" fontId="8" fillId="4" borderId="7" xfId="1" applyFont="1" applyFill="1" applyBorder="1"/>
    <xf numFmtId="43" fontId="12" fillId="0" borderId="7" xfId="1" applyFont="1" applyBorder="1"/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7" fillId="4" borderId="9" xfId="0" applyNumberFormat="1" applyFont="1" applyFill="1" applyBorder="1"/>
    <xf numFmtId="43" fontId="8" fillId="4" borderId="9" xfId="1" applyFont="1" applyFill="1" applyBorder="1"/>
    <xf numFmtId="43" fontId="8" fillId="0" borderId="7" xfId="1" applyFont="1" applyBorder="1"/>
    <xf numFmtId="43" fontId="12" fillId="0" borderId="7" xfId="0" applyNumberFormat="1" applyFont="1" applyBorder="1"/>
    <xf numFmtId="4" fontId="9" fillId="4" borderId="5" xfId="0" applyNumberFormat="1" applyFont="1" applyFill="1" applyBorder="1"/>
    <xf numFmtId="43" fontId="3" fillId="0" borderId="5" xfId="0" applyNumberFormat="1" applyFont="1" applyBorder="1"/>
    <xf numFmtId="0" fontId="6" fillId="4" borderId="9" xfId="0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165" fontId="6" fillId="4" borderId="9" xfId="1" applyNumberFormat="1" applyFont="1" applyFill="1" applyBorder="1"/>
    <xf numFmtId="4" fontId="6" fillId="4" borderId="9" xfId="0" applyNumberFormat="1" applyFont="1" applyFill="1" applyBorder="1"/>
    <xf numFmtId="43" fontId="8" fillId="0" borderId="9" xfId="1" applyFont="1" applyBorder="1"/>
    <xf numFmtId="43" fontId="12" fillId="0" borderId="9" xfId="1" applyFont="1" applyBorder="1"/>
    <xf numFmtId="43" fontId="12" fillId="0" borderId="9" xfId="0" applyNumberFormat="1" applyFont="1" applyBorder="1"/>
    <xf numFmtId="0" fontId="9" fillId="4" borderId="10" xfId="0" applyFont="1" applyFill="1" applyBorder="1" applyAlignment="1">
      <alignment horizontal="center"/>
    </xf>
    <xf numFmtId="43" fontId="3" fillId="4" borderId="9" xfId="1" applyFont="1" applyFill="1" applyBorder="1"/>
    <xf numFmtId="43" fontId="11" fillId="4" borderId="11" xfId="1" applyFont="1" applyFill="1" applyBorder="1"/>
    <xf numFmtId="43" fontId="3" fillId="4" borderId="11" xfId="1" applyFont="1" applyFill="1" applyBorder="1"/>
    <xf numFmtId="43" fontId="12" fillId="4" borderId="5" xfId="1" applyFont="1" applyFill="1" applyBorder="1"/>
    <xf numFmtId="43" fontId="12" fillId="4" borderId="11" xfId="1" applyFont="1" applyFill="1" applyBorder="1"/>
    <xf numFmtId="43" fontId="3" fillId="4" borderId="7" xfId="1" applyFont="1" applyFill="1" applyBorder="1"/>
    <xf numFmtId="43" fontId="3" fillId="4" borderId="8" xfId="1" applyFont="1" applyFill="1" applyBorder="1"/>
    <xf numFmtId="164" fontId="13" fillId="4" borderId="5" xfId="1" applyNumberFormat="1" applyFont="1" applyFill="1" applyBorder="1" applyAlignment="1">
      <alignment horizontal="center"/>
    </xf>
    <xf numFmtId="165" fontId="13" fillId="4" borderId="5" xfId="1" applyNumberFormat="1" applyFont="1" applyFill="1" applyBorder="1"/>
    <xf numFmtId="43" fontId="11" fillId="4" borderId="5" xfId="1" applyFont="1" applyFill="1" applyBorder="1"/>
    <xf numFmtId="164" fontId="13" fillId="4" borderId="2" xfId="1" applyNumberFormat="1" applyFont="1" applyFill="1" applyBorder="1" applyAlignment="1">
      <alignment horizontal="center"/>
    </xf>
    <xf numFmtId="165" fontId="13" fillId="4" borderId="2" xfId="1" applyNumberFormat="1" applyFont="1" applyFill="1" applyBorder="1"/>
    <xf numFmtId="43" fontId="8" fillId="4" borderId="2" xfId="1" applyFont="1" applyFill="1" applyBorder="1"/>
    <xf numFmtId="43" fontId="11" fillId="4" borderId="2" xfId="1" applyFont="1" applyFill="1" applyBorder="1"/>
    <xf numFmtId="43" fontId="12" fillId="4" borderId="2" xfId="1" applyFont="1" applyFill="1" applyBorder="1"/>
    <xf numFmtId="164" fontId="9" fillId="4" borderId="2" xfId="1" applyNumberFormat="1" applyFont="1" applyFill="1" applyBorder="1" applyAlignment="1">
      <alignment horizontal="center"/>
    </xf>
    <xf numFmtId="165" fontId="9" fillId="4" borderId="2" xfId="1" applyNumberFormat="1" applyFont="1" applyFill="1" applyBorder="1"/>
    <xf numFmtId="4" fontId="9" fillId="4" borderId="2" xfId="0" applyNumberFormat="1" applyFont="1" applyFill="1" applyBorder="1"/>
    <xf numFmtId="4" fontId="10" fillId="4" borderId="2" xfId="0" applyNumberFormat="1" applyFont="1" applyFill="1" applyBorder="1"/>
    <xf numFmtId="43" fontId="3" fillId="4" borderId="2" xfId="1" applyFont="1" applyFill="1" applyBorder="1"/>
    <xf numFmtId="43" fontId="3" fillId="0" borderId="2" xfId="1" applyFont="1" applyBorder="1"/>
    <xf numFmtId="43" fontId="3" fillId="0" borderId="2" xfId="0" applyNumberFormat="1" applyFont="1" applyBorder="1"/>
    <xf numFmtId="43" fontId="12" fillId="4" borderId="7" xfId="1" applyFont="1" applyFill="1" applyBorder="1"/>
    <xf numFmtId="43" fontId="12" fillId="4" borderId="9" xfId="1" applyFont="1" applyFill="1" applyBorder="1"/>
    <xf numFmtId="0" fontId="6" fillId="0" borderId="4" xfId="0" applyFont="1" applyBorder="1" applyAlignment="1">
      <alignment horizontal="center"/>
    </xf>
    <xf numFmtId="164" fontId="6" fillId="4" borderId="5" xfId="1" applyNumberFormat="1" applyFont="1" applyFill="1" applyBorder="1" applyAlignment="1"/>
    <xf numFmtId="165" fontId="6" fillId="0" borderId="5" xfId="1" applyNumberFormat="1" applyFont="1" applyFill="1" applyBorder="1"/>
    <xf numFmtId="4" fontId="6" fillId="0" borderId="5" xfId="0" applyNumberFormat="1" applyFont="1" applyBorder="1"/>
    <xf numFmtId="4" fontId="7" fillId="0" borderId="5" xfId="0" applyNumberFormat="1" applyFont="1" applyBorder="1"/>
    <xf numFmtId="0" fontId="6" fillId="0" borderId="0" xfId="0" applyFont="1" applyBorder="1" applyAlignment="1">
      <alignment horizontal="center"/>
    </xf>
    <xf numFmtId="164" fontId="6" fillId="4" borderId="0" xfId="1" applyNumberFormat="1" applyFont="1" applyFill="1" applyBorder="1" applyAlignment="1"/>
    <xf numFmtId="164" fontId="6" fillId="4" borderId="0" xfId="1" applyNumberFormat="1" applyFont="1" applyFill="1" applyBorder="1" applyAlignment="1">
      <alignment horizontal="center"/>
    </xf>
    <xf numFmtId="165" fontId="6" fillId="4" borderId="0" xfId="1" applyNumberFormat="1" applyFont="1" applyFill="1" applyBorder="1"/>
    <xf numFmtId="165" fontId="6" fillId="0" borderId="0" xfId="1" applyNumberFormat="1" applyFont="1" applyFill="1" applyBorder="1"/>
    <xf numFmtId="4" fontId="6" fillId="0" borderId="0" xfId="0" applyNumberFormat="1" applyFont="1" applyBorder="1"/>
    <xf numFmtId="4" fontId="7" fillId="0" borderId="0" xfId="0" applyNumberFormat="1" applyFont="1" applyBorder="1"/>
    <xf numFmtId="43" fontId="8" fillId="0" borderId="0" xfId="1" applyFont="1" applyBorder="1"/>
    <xf numFmtId="43" fontId="12" fillId="0" borderId="0" xfId="0" applyNumberFormat="1" applyFont="1" applyBorder="1"/>
    <xf numFmtId="0" fontId="9" fillId="4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/>
    <xf numFmtId="0" fontId="9" fillId="0" borderId="0" xfId="0" applyFont="1" applyAlignment="1">
      <alignment horizontal="center"/>
    </xf>
    <xf numFmtId="4" fontId="10" fillId="0" borderId="0" xfId="0" applyNumberFormat="1" applyFont="1"/>
    <xf numFmtId="164" fontId="4" fillId="2" borderId="0" xfId="1" applyNumberFormat="1" applyFont="1" applyFill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48</xdr:row>
      <xdr:rowOff>9525</xdr:rowOff>
    </xdr:from>
    <xdr:ext cx="184731" cy="264560"/>
    <xdr:sp macro="" textlink="">
      <xdr:nvSpPr>
        <xdr:cNvPr id="2" name="CuadroTexto 1"/>
        <xdr:cNvSpPr txBox="1"/>
      </xdr:nvSpPr>
      <xdr:spPr>
        <a:xfrm>
          <a:off x="16859250" y="99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US" sz="1100"/>
        </a:p>
      </xdr:txBody>
    </xdr:sp>
    <xdr:clientData/>
  </xdr:oneCellAnchor>
  <xdr:oneCellAnchor>
    <xdr:from>
      <xdr:col>23</xdr:col>
      <xdr:colOff>0</xdr:colOff>
      <xdr:row>48</xdr:row>
      <xdr:rowOff>9525</xdr:rowOff>
    </xdr:from>
    <xdr:ext cx="184731" cy="264560"/>
    <xdr:sp macro="" textlink="">
      <xdr:nvSpPr>
        <xdr:cNvPr id="3" name="CuadroTexto 2"/>
        <xdr:cNvSpPr txBox="1"/>
      </xdr:nvSpPr>
      <xdr:spPr>
        <a:xfrm>
          <a:off x="16859250" y="99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US" sz="1100"/>
        </a:p>
      </xdr:txBody>
    </xdr:sp>
    <xdr:clientData/>
  </xdr:oneCellAnchor>
  <xdr:oneCellAnchor>
    <xdr:from>
      <xdr:col>23</xdr:col>
      <xdr:colOff>0</xdr:colOff>
      <xdr:row>48</xdr:row>
      <xdr:rowOff>9525</xdr:rowOff>
    </xdr:from>
    <xdr:ext cx="184731" cy="264560"/>
    <xdr:sp macro="" textlink="">
      <xdr:nvSpPr>
        <xdr:cNvPr id="4" name="CuadroTexto 3"/>
        <xdr:cNvSpPr txBox="1"/>
      </xdr:nvSpPr>
      <xdr:spPr>
        <a:xfrm>
          <a:off x="16859250" y="99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tabSelected="1" topLeftCell="N1" workbookViewId="0">
      <selection activeCell="X15" sqref="X15"/>
    </sheetView>
  </sheetViews>
  <sheetFormatPr baseColWidth="10" defaultColWidth="11.42578125" defaultRowHeight="12.75" x14ac:dyDescent="0.2"/>
  <cols>
    <col min="1" max="1" width="0.42578125" style="1" hidden="1" customWidth="1"/>
    <col min="2" max="2" width="0.42578125" style="1" customWidth="1"/>
    <col min="3" max="3" width="7.85546875" style="1" customWidth="1"/>
    <col min="4" max="4" width="14.42578125" style="73" customWidth="1"/>
    <col min="5" max="5" width="10.85546875" style="1" customWidth="1"/>
    <col min="6" max="6" width="53.5703125" style="1" customWidth="1"/>
    <col min="7" max="7" width="11.42578125" style="1" hidden="1" customWidth="1"/>
    <col min="8" max="8" width="3.85546875" style="1" hidden="1" customWidth="1"/>
    <col min="9" max="9" width="3.7109375" style="1" hidden="1" customWidth="1"/>
    <col min="10" max="10" width="15.140625" style="1" customWidth="1"/>
    <col min="11" max="11" width="15.140625" style="1" hidden="1" customWidth="1"/>
    <col min="12" max="12" width="16.5703125" style="1" hidden="1" customWidth="1"/>
    <col min="13" max="13" width="16.7109375" style="1" hidden="1" customWidth="1"/>
    <col min="14" max="14" width="13.5703125" style="1" customWidth="1"/>
    <col min="15" max="21" width="14.28515625" style="1" customWidth="1"/>
    <col min="22" max="24" width="14.42578125" style="1" bestFit="1" customWidth="1"/>
    <col min="25" max="16384" width="11.42578125" style="1"/>
  </cols>
  <sheetData>
    <row r="1" spans="1:24" x14ac:dyDescent="0.2">
      <c r="D1" s="159" t="s">
        <v>0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4" x14ac:dyDescent="0.2">
      <c r="D2" s="159" t="s">
        <v>1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4" x14ac:dyDescent="0.2">
      <c r="D3" s="159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4" x14ac:dyDescent="0.2">
      <c r="D4" s="160" t="s">
        <v>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4" ht="15.75" thickBot="1" x14ac:dyDescent="0.3">
      <c r="D5" s="2" t="s">
        <v>4</v>
      </c>
      <c r="E5" s="3"/>
      <c r="F5" s="3"/>
      <c r="G5" s="3"/>
      <c r="H5" s="3"/>
      <c r="I5" s="3"/>
      <c r="J5" s="3"/>
      <c r="K5" s="3"/>
    </row>
    <row r="6" spans="1:24" ht="35.25" customHeight="1" thickBot="1" x14ac:dyDescent="0.3"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6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7" t="s">
        <v>24</v>
      </c>
    </row>
    <row r="7" spans="1:24" ht="15" customHeight="1" thickBot="1" x14ac:dyDescent="0.3">
      <c r="D7" s="8"/>
      <c r="E7" s="9" t="s">
        <v>25</v>
      </c>
      <c r="F7" s="10" t="s">
        <v>26</v>
      </c>
      <c r="G7" s="9"/>
      <c r="H7" s="9"/>
      <c r="I7" s="9"/>
      <c r="J7" s="9"/>
      <c r="K7" s="11"/>
      <c r="L7" s="12"/>
      <c r="M7" s="12"/>
      <c r="N7" s="9"/>
      <c r="O7" s="9"/>
      <c r="P7" s="9"/>
      <c r="Q7" s="9"/>
      <c r="R7" s="9"/>
      <c r="S7" s="9"/>
      <c r="T7" s="9"/>
      <c r="U7" s="9"/>
      <c r="V7" s="9"/>
      <c r="W7" s="13"/>
    </row>
    <row r="8" spans="1:24" ht="15.75" x14ac:dyDescent="0.25">
      <c r="A8" s="14"/>
      <c r="B8" s="14"/>
      <c r="C8" s="14"/>
      <c r="D8" s="15">
        <v>1</v>
      </c>
      <c r="E8" s="16" t="s">
        <v>27</v>
      </c>
      <c r="F8" s="17" t="s">
        <v>28</v>
      </c>
      <c r="G8" s="17">
        <v>121257244.8</v>
      </c>
      <c r="H8" s="17">
        <v>24510516</v>
      </c>
      <c r="I8" s="17">
        <v>0</v>
      </c>
      <c r="J8" s="18">
        <v>152685599</v>
      </c>
      <c r="K8" s="19" t="e">
        <f>+#REF!-#REF!</f>
        <v>#REF!</v>
      </c>
      <c r="L8" s="20">
        <f>7520373+349965</f>
        <v>7870338</v>
      </c>
      <c r="M8" s="20"/>
      <c r="N8" s="21">
        <v>12047991.16</v>
      </c>
      <c r="O8" s="21">
        <v>11777224.59</v>
      </c>
      <c r="P8" s="21">
        <v>12221456.300000001</v>
      </c>
      <c r="Q8" s="21">
        <v>11516674.59</v>
      </c>
      <c r="R8" s="21">
        <v>11472029.800000001</v>
      </c>
      <c r="S8" s="21">
        <v>11425345.84</v>
      </c>
      <c r="T8" s="21">
        <v>11327153.310000001</v>
      </c>
      <c r="U8" s="21">
        <v>11186229.75</v>
      </c>
      <c r="V8" s="22">
        <f>SUM(N8:U8)</f>
        <v>92974105.340000004</v>
      </c>
      <c r="W8" s="22">
        <f>+J8-L8+M8-V8</f>
        <v>51841155.659999996</v>
      </c>
      <c r="X8" s="23"/>
    </row>
    <row r="9" spans="1:24" ht="15.75" x14ac:dyDescent="0.25">
      <c r="A9" s="14"/>
      <c r="B9" s="14"/>
      <c r="C9" s="14"/>
      <c r="D9" s="24">
        <v>2</v>
      </c>
      <c r="E9" s="25" t="s">
        <v>29</v>
      </c>
      <c r="F9" s="26" t="s">
        <v>30</v>
      </c>
      <c r="G9" s="26">
        <v>0</v>
      </c>
      <c r="H9" s="26">
        <v>7510800</v>
      </c>
      <c r="I9" s="26">
        <v>0</v>
      </c>
      <c r="J9" s="27">
        <v>13097847</v>
      </c>
      <c r="K9" s="28" t="e">
        <f>+#REF!-#REF!</f>
        <v>#REF!</v>
      </c>
      <c r="L9" s="29"/>
      <c r="M9" s="29">
        <f>7491058+3400000+349965</f>
        <v>11241023</v>
      </c>
      <c r="N9" s="30">
        <v>1366415.59</v>
      </c>
      <c r="O9" s="30">
        <v>1414850.85</v>
      </c>
      <c r="P9" s="30">
        <v>1942755.22</v>
      </c>
      <c r="Q9" s="30">
        <v>1402233.65</v>
      </c>
      <c r="R9" s="30">
        <v>2947235.32</v>
      </c>
      <c r="S9" s="30">
        <v>1898427.08</v>
      </c>
      <c r="T9" s="30">
        <v>1917699.24</v>
      </c>
      <c r="U9" s="30">
        <f>2390335.32+184962.36+277433.35</f>
        <v>2852731.03</v>
      </c>
      <c r="V9" s="31">
        <f>SUM(N9:R9)+S9+T9+U9</f>
        <v>15742347.98</v>
      </c>
      <c r="W9" s="22">
        <f>+J9-L9+M9-V9</f>
        <v>8596522.0199999996</v>
      </c>
      <c r="X9" s="23"/>
    </row>
    <row r="10" spans="1:24" ht="15.75" x14ac:dyDescent="0.25">
      <c r="A10" s="14"/>
      <c r="B10" s="14"/>
      <c r="C10" s="14"/>
      <c r="D10" s="24">
        <v>3</v>
      </c>
      <c r="E10" s="25" t="s">
        <v>31</v>
      </c>
      <c r="F10" s="26" t="s">
        <v>32</v>
      </c>
      <c r="G10" s="26">
        <v>10104770.4</v>
      </c>
      <c r="H10" s="26">
        <v>2668443</v>
      </c>
      <c r="I10" s="26">
        <v>0</v>
      </c>
      <c r="J10" s="27">
        <v>13792564</v>
      </c>
      <c r="K10" s="28" t="e">
        <f>+#REF!-#REF!</f>
        <v>#REF!</v>
      </c>
      <c r="L10" s="29"/>
      <c r="M10" s="29">
        <v>670762</v>
      </c>
      <c r="N10" s="30"/>
      <c r="O10" s="30"/>
      <c r="P10" s="30"/>
      <c r="Q10" s="30"/>
      <c r="R10" s="30"/>
      <c r="S10" s="30"/>
      <c r="T10" s="30"/>
      <c r="U10" s="30"/>
      <c r="V10" s="31">
        <f t="shared" ref="V10:V53" si="0">N10+O10</f>
        <v>0</v>
      </c>
      <c r="W10" s="22">
        <f t="shared" ref="W10:W12" si="1">+J10-L10+M10-V10</f>
        <v>14463326</v>
      </c>
      <c r="X10" s="32"/>
    </row>
    <row r="11" spans="1:24" ht="15.75" x14ac:dyDescent="0.25">
      <c r="A11" s="14"/>
      <c r="B11" s="14"/>
      <c r="C11" s="14"/>
      <c r="D11" s="24">
        <v>4</v>
      </c>
      <c r="E11" s="25" t="s">
        <v>33</v>
      </c>
      <c r="F11" s="26" t="s">
        <v>34</v>
      </c>
      <c r="G11" s="26">
        <v>0</v>
      </c>
      <c r="H11" s="26">
        <v>200000</v>
      </c>
      <c r="I11" s="26">
        <v>0</v>
      </c>
      <c r="J11" s="27">
        <v>150000</v>
      </c>
      <c r="K11" s="28" t="e">
        <f>+#REF!-#REF!</f>
        <v>#REF!</v>
      </c>
      <c r="L11" s="29"/>
      <c r="M11" s="29"/>
      <c r="N11" s="30"/>
      <c r="O11" s="30"/>
      <c r="P11" s="30"/>
      <c r="Q11" s="30"/>
      <c r="R11" s="30"/>
      <c r="S11" s="30"/>
      <c r="T11" s="30"/>
      <c r="U11" s="30"/>
      <c r="V11" s="31">
        <f t="shared" si="0"/>
        <v>0</v>
      </c>
      <c r="W11" s="22">
        <f t="shared" si="1"/>
        <v>150000</v>
      </c>
    </row>
    <row r="12" spans="1:24" ht="16.5" thickBot="1" x14ac:dyDescent="0.3">
      <c r="A12" s="14"/>
      <c r="B12" s="14"/>
      <c r="C12" s="14"/>
      <c r="D12" s="33">
        <v>5</v>
      </c>
      <c r="E12" s="34" t="s">
        <v>35</v>
      </c>
      <c r="F12" s="35" t="s">
        <v>36</v>
      </c>
      <c r="G12" s="35"/>
      <c r="H12" s="35"/>
      <c r="I12" s="35"/>
      <c r="J12" s="36">
        <v>200000</v>
      </c>
      <c r="K12" s="37"/>
      <c r="L12" s="38"/>
      <c r="M12" s="38"/>
      <c r="N12" s="39">
        <v>63413.85</v>
      </c>
      <c r="O12" s="39"/>
      <c r="P12" s="39"/>
      <c r="Q12" s="39">
        <v>0</v>
      </c>
      <c r="R12" s="39"/>
      <c r="S12" s="39"/>
      <c r="T12" s="39">
        <v>0</v>
      </c>
      <c r="U12" s="39">
        <v>16278.05</v>
      </c>
      <c r="V12" s="40">
        <f>N12+O12+U12</f>
        <v>79691.899999999994</v>
      </c>
      <c r="W12" s="22">
        <f t="shared" si="1"/>
        <v>120308.1</v>
      </c>
    </row>
    <row r="13" spans="1:24" ht="16.5" thickBot="1" x14ac:dyDescent="0.3">
      <c r="A13" s="14"/>
      <c r="B13" s="14"/>
      <c r="C13" s="14"/>
      <c r="D13" s="41"/>
      <c r="E13" s="42"/>
      <c r="F13" s="43" t="s">
        <v>37</v>
      </c>
      <c r="G13" s="43"/>
      <c r="H13" s="43"/>
      <c r="I13" s="43"/>
      <c r="J13" s="44">
        <f>SUM(J8:J12)</f>
        <v>179926010</v>
      </c>
      <c r="K13" s="45" t="e">
        <f>SUM(K8:K12)</f>
        <v>#REF!</v>
      </c>
      <c r="L13" s="46">
        <f>SUM(L8:L12)</f>
        <v>7870338</v>
      </c>
      <c r="M13" s="46">
        <f>SUM(M8:M12)</f>
        <v>11911785</v>
      </c>
      <c r="N13" s="47">
        <f t="shared" ref="N13:V13" si="2">SUM(N8:N12)</f>
        <v>13477820.6</v>
      </c>
      <c r="O13" s="47">
        <f t="shared" si="2"/>
        <v>13192075.439999999</v>
      </c>
      <c r="P13" s="47">
        <f t="shared" si="2"/>
        <v>14164211.520000001</v>
      </c>
      <c r="Q13" s="47">
        <f t="shared" si="2"/>
        <v>12918908.24</v>
      </c>
      <c r="R13" s="47">
        <f>SUM(R8:R12)</f>
        <v>14419265.120000001</v>
      </c>
      <c r="S13" s="47">
        <f>SUM(S8:S12)</f>
        <v>13323772.92</v>
      </c>
      <c r="T13" s="47">
        <f>SUM(T8:T12)</f>
        <v>13244852.550000001</v>
      </c>
      <c r="U13" s="47">
        <f>SUM(U8:U12)</f>
        <v>14055238.83</v>
      </c>
      <c r="V13" s="48">
        <f t="shared" si="2"/>
        <v>108796145.22000001</v>
      </c>
      <c r="W13" s="49">
        <f>SUM(W8:W12)</f>
        <v>75171311.779999986</v>
      </c>
    </row>
    <row r="14" spans="1:24" ht="16.5" thickBot="1" x14ac:dyDescent="0.3">
      <c r="A14" s="14"/>
      <c r="B14" s="14"/>
      <c r="C14" s="14"/>
      <c r="D14" s="50"/>
      <c r="E14" s="51"/>
      <c r="F14" s="52"/>
      <c r="G14" s="52"/>
      <c r="H14" s="52"/>
      <c r="I14" s="52"/>
      <c r="J14" s="53"/>
      <c r="K14" s="54"/>
      <c r="L14" s="55"/>
      <c r="M14" s="55"/>
      <c r="N14" s="56"/>
      <c r="O14" s="56"/>
      <c r="P14" s="56"/>
      <c r="Q14" s="56"/>
      <c r="R14" s="56"/>
      <c r="S14" s="56"/>
      <c r="T14" s="56"/>
      <c r="U14" s="56"/>
      <c r="V14" s="57"/>
      <c r="W14" s="58"/>
    </row>
    <row r="15" spans="1:24" ht="16.5" thickBot="1" x14ac:dyDescent="0.3">
      <c r="A15" s="14"/>
      <c r="B15" s="14"/>
      <c r="C15" s="14"/>
      <c r="D15" s="41"/>
      <c r="E15" s="42" t="s">
        <v>38</v>
      </c>
      <c r="F15" s="43" t="s">
        <v>39</v>
      </c>
      <c r="G15" s="43"/>
      <c r="H15" s="43"/>
      <c r="I15" s="43"/>
      <c r="J15" s="44"/>
      <c r="K15" s="45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8"/>
      <c r="W15" s="49"/>
    </row>
    <row r="16" spans="1:24" ht="15.75" x14ac:dyDescent="0.25">
      <c r="A16" s="14"/>
      <c r="B16" s="14"/>
      <c r="C16" s="14"/>
      <c r="D16" s="15">
        <v>6</v>
      </c>
      <c r="E16" s="16" t="s">
        <v>40</v>
      </c>
      <c r="F16" s="17" t="s">
        <v>41</v>
      </c>
      <c r="G16" s="17">
        <v>0</v>
      </c>
      <c r="H16" s="17">
        <v>1200000</v>
      </c>
      <c r="I16" s="17">
        <v>0</v>
      </c>
      <c r="J16" s="18">
        <v>4973425</v>
      </c>
      <c r="K16" s="19" t="e">
        <f>+#REF!-#REF!</f>
        <v>#REF!</v>
      </c>
      <c r="L16" s="20"/>
      <c r="M16" s="20"/>
      <c r="N16" s="21">
        <v>377851</v>
      </c>
      <c r="O16" s="21">
        <v>354894.14</v>
      </c>
      <c r="P16" s="21">
        <v>363050.05</v>
      </c>
      <c r="Q16" s="21">
        <v>318161.78999999998</v>
      </c>
      <c r="R16" s="21">
        <v>318161.78999999998</v>
      </c>
      <c r="S16" s="21">
        <v>318161.78999999998</v>
      </c>
      <c r="T16" s="21">
        <v>303428.21000000002</v>
      </c>
      <c r="U16" s="21">
        <v>303428.21000000002</v>
      </c>
      <c r="V16" s="22">
        <f>SUM(N16:U16)</f>
        <v>2657136.98</v>
      </c>
      <c r="W16" s="22">
        <f>+J16-L16+M16-V16</f>
        <v>2316288.02</v>
      </c>
      <c r="X16" s="23"/>
    </row>
    <row r="17" spans="1:24" ht="15.75" x14ac:dyDescent="0.25">
      <c r="A17" s="14"/>
      <c r="B17" s="14"/>
      <c r="C17" s="14"/>
      <c r="D17" s="24">
        <v>7</v>
      </c>
      <c r="E17" s="25" t="s">
        <v>42</v>
      </c>
      <c r="F17" s="26" t="s">
        <v>43</v>
      </c>
      <c r="G17" s="26"/>
      <c r="H17" s="26"/>
      <c r="I17" s="26"/>
      <c r="J17" s="27">
        <v>2151500</v>
      </c>
      <c r="K17" s="28"/>
      <c r="L17" s="29"/>
      <c r="M17" s="29">
        <v>464500</v>
      </c>
      <c r="N17" s="30">
        <v>218000</v>
      </c>
      <c r="O17" s="30">
        <v>218000</v>
      </c>
      <c r="P17" s="30">
        <v>193000</v>
      </c>
      <c r="Q17" s="21">
        <v>156500</v>
      </c>
      <c r="R17" s="21">
        <v>156500</v>
      </c>
      <c r="S17" s="21">
        <v>151100</v>
      </c>
      <c r="T17" s="21">
        <f>9000</f>
        <v>9000</v>
      </c>
      <c r="U17" s="21">
        <f>137500+138500</f>
        <v>276000</v>
      </c>
      <c r="V17" s="22">
        <f>SUM(N17:T17)+U17</f>
        <v>1378100</v>
      </c>
      <c r="W17" s="22">
        <f t="shared" ref="W17:W21" si="3">+J17-L17+M17-V17</f>
        <v>1237900</v>
      </c>
      <c r="X17" s="23"/>
    </row>
    <row r="18" spans="1:24" ht="15.75" x14ac:dyDescent="0.25">
      <c r="A18" s="14"/>
      <c r="B18" s="14"/>
      <c r="C18" s="14"/>
      <c r="D18" s="24">
        <v>8</v>
      </c>
      <c r="E18" s="25" t="s">
        <v>44</v>
      </c>
      <c r="F18" s="26" t="s">
        <v>45</v>
      </c>
      <c r="G18" s="26"/>
      <c r="H18" s="26"/>
      <c r="I18" s="26"/>
      <c r="J18" s="27">
        <v>7181079</v>
      </c>
      <c r="K18" s="28"/>
      <c r="L18" s="29"/>
      <c r="M18" s="29"/>
      <c r="N18" s="30">
        <v>545206.31000000006</v>
      </c>
      <c r="O18" s="30">
        <v>530581.68000000005</v>
      </c>
      <c r="P18" s="30">
        <v>570951.13</v>
      </c>
      <c r="Q18" s="21">
        <v>512527.42</v>
      </c>
      <c r="R18" s="21">
        <v>511070.87</v>
      </c>
      <c r="S18" s="21">
        <v>506455.11</v>
      </c>
      <c r="T18" s="21">
        <v>498887.02</v>
      </c>
      <c r="U18" s="21">
        <v>497576.09</v>
      </c>
      <c r="V18" s="22">
        <f>SUM(N18:U18)</f>
        <v>4173255.63</v>
      </c>
      <c r="W18" s="22">
        <f t="shared" si="3"/>
        <v>3007823.37</v>
      </c>
      <c r="X18" s="23"/>
    </row>
    <row r="19" spans="1:24" ht="15.75" x14ac:dyDescent="0.25">
      <c r="A19" s="14"/>
      <c r="B19" s="14"/>
      <c r="C19" s="14"/>
      <c r="D19" s="24">
        <v>9</v>
      </c>
      <c r="E19" s="25" t="s">
        <v>46</v>
      </c>
      <c r="F19" s="26" t="s">
        <v>47</v>
      </c>
      <c r="G19" s="26"/>
      <c r="H19" s="26"/>
      <c r="I19" s="26"/>
      <c r="J19" s="27">
        <v>407007</v>
      </c>
      <c r="K19" s="28"/>
      <c r="L19" s="29">
        <v>400000</v>
      </c>
      <c r="M19" s="29"/>
      <c r="N19" s="30">
        <v>28900</v>
      </c>
      <c r="O19" s="30">
        <v>28900</v>
      </c>
      <c r="P19" s="30">
        <v>37900</v>
      </c>
      <c r="Q19" s="21">
        <v>28900</v>
      </c>
      <c r="R19" s="21">
        <v>28900</v>
      </c>
      <c r="S19" s="21">
        <v>28900</v>
      </c>
      <c r="T19" s="21">
        <v>28900</v>
      </c>
      <c r="U19" s="21">
        <v>28900</v>
      </c>
      <c r="V19" s="22">
        <f>SUM(N19:U19)</f>
        <v>240200</v>
      </c>
      <c r="W19" s="22">
        <f t="shared" si="3"/>
        <v>-233193</v>
      </c>
      <c r="X19" s="23"/>
    </row>
    <row r="20" spans="1:24" ht="15.75" x14ac:dyDescent="0.25">
      <c r="A20" s="14"/>
      <c r="B20" s="14"/>
      <c r="C20" s="14"/>
      <c r="D20" s="24">
        <v>10</v>
      </c>
      <c r="E20" s="25" t="s">
        <v>48</v>
      </c>
      <c r="F20" s="26" t="s">
        <v>49</v>
      </c>
      <c r="G20" s="26"/>
      <c r="H20" s="26"/>
      <c r="I20" s="26"/>
      <c r="J20" s="27">
        <v>43882</v>
      </c>
      <c r="K20" s="28"/>
      <c r="L20" s="29"/>
      <c r="M20" s="29"/>
      <c r="N20" s="30"/>
      <c r="O20" s="30"/>
      <c r="P20" s="30"/>
      <c r="Q20" s="30"/>
      <c r="R20" s="30"/>
      <c r="S20" s="30"/>
      <c r="T20" s="30"/>
      <c r="U20" s="21"/>
      <c r="V20" s="22">
        <f t="shared" ref="V20:V21" si="4">SUM(N20:T20)</f>
        <v>0</v>
      </c>
      <c r="W20" s="22">
        <f t="shared" si="3"/>
        <v>43882</v>
      </c>
    </row>
    <row r="21" spans="1:24" ht="16.5" thickBot="1" x14ac:dyDescent="0.3">
      <c r="A21" s="14"/>
      <c r="B21" s="14"/>
      <c r="C21" s="14"/>
      <c r="D21" s="33">
        <v>11</v>
      </c>
      <c r="E21" s="34" t="s">
        <v>50</v>
      </c>
      <c r="F21" s="35" t="s">
        <v>51</v>
      </c>
      <c r="G21" s="35">
        <v>206545.73</v>
      </c>
      <c r="H21" s="35">
        <v>200000</v>
      </c>
      <c r="I21" s="35">
        <v>0</v>
      </c>
      <c r="J21" s="36">
        <v>406546</v>
      </c>
      <c r="K21" s="37" t="e">
        <f>+#REF!-#REF!</f>
        <v>#REF!</v>
      </c>
      <c r="L21" s="38"/>
      <c r="M21" s="38"/>
      <c r="N21" s="39"/>
      <c r="O21" s="39"/>
      <c r="P21" s="39"/>
      <c r="Q21" s="39"/>
      <c r="R21" s="39"/>
      <c r="S21" s="39"/>
      <c r="T21" s="39"/>
      <c r="U21" s="59"/>
      <c r="V21" s="22">
        <f t="shared" si="4"/>
        <v>0</v>
      </c>
      <c r="W21" s="22">
        <f t="shared" si="3"/>
        <v>406546</v>
      </c>
    </row>
    <row r="22" spans="1:24" ht="16.5" thickBot="1" x14ac:dyDescent="0.3">
      <c r="A22" s="14"/>
      <c r="B22" s="14"/>
      <c r="C22" s="14"/>
      <c r="D22" s="41"/>
      <c r="E22" s="42"/>
      <c r="F22" s="43" t="s">
        <v>37</v>
      </c>
      <c r="G22" s="43"/>
      <c r="H22" s="43"/>
      <c r="I22" s="43"/>
      <c r="J22" s="44">
        <f>SUM(J16:J21)</f>
        <v>15163439</v>
      </c>
      <c r="K22" s="45" t="e">
        <f>SUM(K16:K21)</f>
        <v>#REF!</v>
      </c>
      <c r="L22" s="46">
        <f>SUM(L19:L21)</f>
        <v>400000</v>
      </c>
      <c r="M22" s="46">
        <f>SUM(M17:M21)</f>
        <v>464500</v>
      </c>
      <c r="N22" s="47">
        <f t="shared" ref="N22:V22" si="5">SUM(N16:N21)</f>
        <v>1169957.31</v>
      </c>
      <c r="O22" s="47">
        <f t="shared" si="5"/>
        <v>1132375.82</v>
      </c>
      <c r="P22" s="47">
        <f t="shared" si="5"/>
        <v>1164901.1800000002</v>
      </c>
      <c r="Q22" s="47">
        <f t="shared" si="5"/>
        <v>1016089.21</v>
      </c>
      <c r="R22" s="47">
        <f>SUM(R16:R21)</f>
        <v>1014632.6599999999</v>
      </c>
      <c r="S22" s="47">
        <f>SUM(S16:S21)</f>
        <v>1004616.8999999999</v>
      </c>
      <c r="T22" s="47">
        <f>SUM(T16:T21)</f>
        <v>840215.23</v>
      </c>
      <c r="U22" s="47">
        <f>SUM(U16:U21)</f>
        <v>1105904.3</v>
      </c>
      <c r="V22" s="48">
        <f t="shared" si="5"/>
        <v>8448692.6099999994</v>
      </c>
      <c r="W22" s="49">
        <f>SUM(W16:W21)</f>
        <v>6779246.3900000006</v>
      </c>
    </row>
    <row r="23" spans="1:24" ht="16.5" thickBot="1" x14ac:dyDescent="0.3">
      <c r="A23" s="14"/>
      <c r="B23" s="14"/>
      <c r="C23" s="14"/>
      <c r="D23" s="60"/>
      <c r="E23" s="51" t="s">
        <v>52</v>
      </c>
      <c r="F23" s="52" t="s">
        <v>53</v>
      </c>
      <c r="G23" s="52"/>
      <c r="H23" s="52"/>
      <c r="I23" s="52"/>
      <c r="J23" s="53"/>
      <c r="K23" s="54"/>
      <c r="L23" s="55"/>
      <c r="M23" s="55"/>
      <c r="N23" s="56"/>
      <c r="O23" s="56"/>
      <c r="P23" s="56"/>
      <c r="Q23" s="56"/>
      <c r="R23" s="56"/>
      <c r="S23" s="56"/>
      <c r="T23" s="56"/>
      <c r="U23" s="56"/>
      <c r="V23" s="57"/>
      <c r="W23" s="61"/>
    </row>
    <row r="24" spans="1:24" ht="16.5" thickBot="1" x14ac:dyDescent="0.3">
      <c r="A24" s="14"/>
      <c r="B24" s="14"/>
      <c r="C24" s="14"/>
      <c r="D24" s="62">
        <v>12</v>
      </c>
      <c r="E24" s="63" t="s">
        <v>54</v>
      </c>
      <c r="F24" s="64" t="s">
        <v>55</v>
      </c>
      <c r="G24" s="64"/>
      <c r="H24" s="64"/>
      <c r="I24" s="64"/>
      <c r="J24" s="65"/>
      <c r="K24" s="66"/>
      <c r="L24" s="67"/>
      <c r="M24" s="68">
        <v>15000</v>
      </c>
      <c r="N24" s="69"/>
      <c r="O24" s="69"/>
      <c r="P24" s="69"/>
      <c r="Q24" s="69"/>
      <c r="R24" s="69"/>
      <c r="S24" s="69"/>
      <c r="T24" s="69"/>
      <c r="U24" s="69"/>
      <c r="V24" s="70"/>
      <c r="W24" s="71">
        <f>+J24-L24+M24-V24</f>
        <v>15000</v>
      </c>
    </row>
    <row r="25" spans="1:24" ht="16.5" thickBot="1" x14ac:dyDescent="0.3">
      <c r="A25" s="14"/>
      <c r="B25" s="14"/>
      <c r="C25" s="14"/>
      <c r="D25" s="72"/>
      <c r="E25" s="63"/>
      <c r="F25" s="64" t="s">
        <v>37</v>
      </c>
      <c r="G25" s="64"/>
      <c r="H25" s="64"/>
      <c r="I25" s="64"/>
      <c r="J25" s="65"/>
      <c r="K25" s="66"/>
      <c r="L25" s="67"/>
      <c r="M25" s="67">
        <f>SUM(M24)</f>
        <v>15000</v>
      </c>
      <c r="N25" s="69"/>
      <c r="O25" s="69"/>
      <c r="P25" s="69"/>
      <c r="Q25" s="69"/>
      <c r="R25" s="69">
        <f>SUM(R24)</f>
        <v>0</v>
      </c>
      <c r="S25" s="69"/>
      <c r="T25" s="69"/>
      <c r="U25" s="69"/>
      <c r="V25" s="70">
        <f>SUM(V24)</f>
        <v>0</v>
      </c>
      <c r="W25" s="71">
        <f>+W24</f>
        <v>15000</v>
      </c>
    </row>
    <row r="26" spans="1:24" ht="16.5" thickBot="1" x14ac:dyDescent="0.3">
      <c r="A26" s="14"/>
      <c r="B26" s="14"/>
      <c r="C26" s="14"/>
      <c r="D26" s="41"/>
      <c r="E26" s="42" t="s">
        <v>56</v>
      </c>
      <c r="F26" s="43" t="s">
        <v>57</v>
      </c>
      <c r="G26" s="43"/>
      <c r="H26" s="43"/>
      <c r="I26" s="43"/>
      <c r="J26" s="44"/>
      <c r="K26" s="45"/>
      <c r="L26" s="46"/>
      <c r="M26" s="46"/>
      <c r="N26" s="47"/>
      <c r="O26" s="47"/>
      <c r="P26" s="47"/>
      <c r="Q26" s="47"/>
      <c r="R26" s="47"/>
      <c r="S26" s="47"/>
      <c r="T26" s="47"/>
      <c r="U26" s="47"/>
      <c r="V26" s="48"/>
      <c r="W26" s="49"/>
    </row>
    <row r="27" spans="1:24" ht="15.75" x14ac:dyDescent="0.25">
      <c r="A27" s="14"/>
      <c r="B27" s="14"/>
      <c r="C27" s="14"/>
      <c r="D27" s="15">
        <v>13</v>
      </c>
      <c r="E27" s="16" t="s">
        <v>58</v>
      </c>
      <c r="F27" s="17" t="s">
        <v>59</v>
      </c>
      <c r="G27" s="17">
        <v>6798355.5199999996</v>
      </c>
      <c r="H27" s="17">
        <v>0</v>
      </c>
      <c r="I27" s="17">
        <v>0</v>
      </c>
      <c r="J27" s="18">
        <v>6798356</v>
      </c>
      <c r="K27" s="19" t="e">
        <f>+#REF!-#REF!</f>
        <v>#REF!</v>
      </c>
      <c r="L27" s="20">
        <f>1000000+2500000+2999800</f>
        <v>6499800</v>
      </c>
      <c r="M27" s="20"/>
      <c r="N27" s="21"/>
      <c r="O27" s="21"/>
      <c r="P27" s="21"/>
      <c r="Q27" s="21"/>
      <c r="R27" s="21"/>
      <c r="S27" s="21"/>
      <c r="T27" s="21"/>
      <c r="U27" s="21"/>
      <c r="V27" s="22">
        <f t="shared" si="0"/>
        <v>0</v>
      </c>
      <c r="W27" s="22">
        <f>+J27-L27+M27-V27</f>
        <v>298556</v>
      </c>
    </row>
    <row r="28" spans="1:24" ht="15.75" x14ac:dyDescent="0.25">
      <c r="A28" s="14"/>
      <c r="B28" s="14"/>
      <c r="C28" s="14"/>
      <c r="D28" s="24">
        <v>14</v>
      </c>
      <c r="E28" s="25" t="s">
        <v>60</v>
      </c>
      <c r="F28" s="26" t="s">
        <v>61</v>
      </c>
      <c r="G28" s="26">
        <v>800000</v>
      </c>
      <c r="H28" s="26">
        <v>0</v>
      </c>
      <c r="I28" s="26">
        <v>0</v>
      </c>
      <c r="J28" s="27">
        <v>800000</v>
      </c>
      <c r="K28" s="28" t="e">
        <f>+#REF!-#REF!</f>
        <v>#REF!</v>
      </c>
      <c r="L28" s="29">
        <v>2000000</v>
      </c>
      <c r="M28" s="29">
        <v>1200000</v>
      </c>
      <c r="N28" s="30"/>
      <c r="O28" s="30"/>
      <c r="P28" s="30"/>
      <c r="Q28" s="30"/>
      <c r="R28" s="30"/>
      <c r="S28" s="30"/>
      <c r="T28" s="30"/>
      <c r="U28" s="30"/>
      <c r="V28" s="31">
        <f t="shared" si="0"/>
        <v>0</v>
      </c>
      <c r="W28" s="22">
        <f t="shared" ref="W28:W30" si="6">+J28-L28+M28-V28</f>
        <v>0</v>
      </c>
    </row>
    <row r="29" spans="1:24" ht="15.75" x14ac:dyDescent="0.25">
      <c r="A29" s="14"/>
      <c r="B29" s="14"/>
      <c r="C29" s="14"/>
      <c r="D29" s="24">
        <v>15</v>
      </c>
      <c r="E29" s="25" t="s">
        <v>62</v>
      </c>
      <c r="F29" s="26" t="s">
        <v>63</v>
      </c>
      <c r="G29" s="26">
        <v>1200000</v>
      </c>
      <c r="H29" s="26">
        <v>0</v>
      </c>
      <c r="I29" s="26">
        <v>0</v>
      </c>
      <c r="J29" s="27">
        <v>1200000</v>
      </c>
      <c r="K29" s="28" t="e">
        <f>+#REF!-#REF!</f>
        <v>#REF!</v>
      </c>
      <c r="L29" s="29">
        <v>1200000</v>
      </c>
      <c r="M29" s="29"/>
      <c r="N29" s="30"/>
      <c r="O29" s="30"/>
      <c r="P29" s="30"/>
      <c r="Q29" s="30"/>
      <c r="R29" s="30"/>
      <c r="S29" s="30"/>
      <c r="T29" s="30"/>
      <c r="U29" s="30"/>
      <c r="V29" s="31">
        <f t="shared" si="0"/>
        <v>0</v>
      </c>
      <c r="W29" s="22">
        <f t="shared" si="6"/>
        <v>0</v>
      </c>
    </row>
    <row r="30" spans="1:24" ht="16.5" thickBot="1" x14ac:dyDescent="0.3">
      <c r="A30" s="14"/>
      <c r="B30" s="14"/>
      <c r="C30" s="14"/>
      <c r="D30" s="33">
        <v>16</v>
      </c>
      <c r="E30" s="34" t="s">
        <v>64</v>
      </c>
      <c r="F30" s="35" t="s">
        <v>65</v>
      </c>
      <c r="G30" s="35">
        <v>2000000</v>
      </c>
      <c r="H30" s="35">
        <v>0</v>
      </c>
      <c r="I30" s="35">
        <v>0</v>
      </c>
      <c r="J30" s="36">
        <v>2000000</v>
      </c>
      <c r="K30" s="37" t="e">
        <f>+#REF!-#REF!</f>
        <v>#REF!</v>
      </c>
      <c r="L30" s="38">
        <v>2000000</v>
      </c>
      <c r="M30" s="38"/>
      <c r="N30" s="39"/>
      <c r="O30" s="39"/>
      <c r="P30" s="39"/>
      <c r="Q30" s="39"/>
      <c r="R30" s="39"/>
      <c r="S30" s="39"/>
      <c r="T30" s="39"/>
      <c r="U30" s="39"/>
      <c r="V30" s="40">
        <f t="shared" si="0"/>
        <v>0</v>
      </c>
      <c r="W30" s="22">
        <f t="shared" si="6"/>
        <v>0</v>
      </c>
      <c r="X30" s="73"/>
    </row>
    <row r="31" spans="1:24" ht="16.5" thickBot="1" x14ac:dyDescent="0.3">
      <c r="A31" s="14"/>
      <c r="B31" s="14"/>
      <c r="C31" s="14"/>
      <c r="D31" s="41"/>
      <c r="E31" s="42"/>
      <c r="F31" s="43" t="s">
        <v>37</v>
      </c>
      <c r="G31" s="43"/>
      <c r="H31" s="43"/>
      <c r="I31" s="43"/>
      <c r="J31" s="44">
        <f>SUM(J27:J30)</f>
        <v>10798356</v>
      </c>
      <c r="K31" s="45" t="e">
        <f>SUM(K27:K30)</f>
        <v>#REF!</v>
      </c>
      <c r="L31" s="46">
        <f>SUM(L27:L30)</f>
        <v>11699800</v>
      </c>
      <c r="M31" s="46">
        <f>SUM(M28:M30)</f>
        <v>1200000</v>
      </c>
      <c r="N31" s="47"/>
      <c r="O31" s="47"/>
      <c r="P31" s="47"/>
      <c r="Q31" s="47"/>
      <c r="R31" s="47"/>
      <c r="S31" s="47"/>
      <c r="T31" s="47"/>
      <c r="U31" s="47"/>
      <c r="V31" s="48">
        <f>SUM(V27:V30)</f>
        <v>0</v>
      </c>
      <c r="W31" s="49">
        <f>SUM(W26:W30)</f>
        <v>298556</v>
      </c>
    </row>
    <row r="32" spans="1:24" ht="16.5" thickBot="1" x14ac:dyDescent="0.3">
      <c r="A32" s="14"/>
      <c r="B32" s="14"/>
      <c r="C32" s="14"/>
      <c r="D32" s="50"/>
      <c r="E32" s="51"/>
      <c r="F32" s="52"/>
      <c r="G32" s="52"/>
      <c r="H32" s="52"/>
      <c r="I32" s="52"/>
      <c r="J32" s="53"/>
      <c r="K32" s="54"/>
      <c r="L32" s="55"/>
      <c r="M32" s="55"/>
      <c r="N32" s="56"/>
      <c r="O32" s="56"/>
      <c r="P32" s="56"/>
      <c r="Q32" s="56"/>
      <c r="R32" s="56"/>
      <c r="S32" s="56"/>
      <c r="T32" s="56"/>
      <c r="U32" s="56"/>
      <c r="V32" s="57"/>
      <c r="W32" s="58"/>
    </row>
    <row r="33" spans="1:24" ht="16.5" thickBot="1" x14ac:dyDescent="0.3">
      <c r="A33" s="14"/>
      <c r="B33" s="14"/>
      <c r="C33" s="14"/>
      <c r="D33" s="41"/>
      <c r="E33" s="42" t="s">
        <v>66</v>
      </c>
      <c r="F33" s="43" t="s">
        <v>67</v>
      </c>
      <c r="G33" s="43"/>
      <c r="H33" s="43"/>
      <c r="I33" s="43"/>
      <c r="J33" s="44"/>
      <c r="K33" s="45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8"/>
      <c r="W33" s="49"/>
    </row>
    <row r="34" spans="1:24" ht="15.75" x14ac:dyDescent="0.25">
      <c r="A34" s="14"/>
      <c r="B34" s="14"/>
      <c r="C34" s="14"/>
      <c r="D34" s="15">
        <v>17</v>
      </c>
      <c r="E34" s="16" t="s">
        <v>68</v>
      </c>
      <c r="F34" s="17" t="s">
        <v>69</v>
      </c>
      <c r="G34" s="17">
        <v>8548007.1400000006</v>
      </c>
      <c r="H34" s="17">
        <v>2657769</v>
      </c>
      <c r="I34" s="17">
        <v>0</v>
      </c>
      <c r="J34" s="18">
        <v>12717643</v>
      </c>
      <c r="K34" s="19" t="e">
        <f>+#REF!-#REF!</f>
        <v>#REF!</v>
      </c>
      <c r="L34" s="20"/>
      <c r="M34" s="20"/>
      <c r="N34" s="21">
        <v>940344.33</v>
      </c>
      <c r="O34" s="21">
        <v>924581.02</v>
      </c>
      <c r="P34" s="21">
        <v>993505.49</v>
      </c>
      <c r="Q34" s="21">
        <v>905213.46</v>
      </c>
      <c r="R34" s="21">
        <f>975962.91+36534.77</f>
        <v>1012497.68</v>
      </c>
      <c r="S34" s="21">
        <v>934827.27</v>
      </c>
      <c r="T34" s="21">
        <v>929231.81</v>
      </c>
      <c r="U34" s="21">
        <f>952750.23+13113.84+19670.14-0.1</f>
        <v>985534.11</v>
      </c>
      <c r="V34" s="22">
        <f>SUM(N34:U34)</f>
        <v>7625735.1700000009</v>
      </c>
      <c r="W34" s="22">
        <f>+J34-L34+M34-V34</f>
        <v>5091907.8299999991</v>
      </c>
      <c r="X34" s="23"/>
    </row>
    <row r="35" spans="1:24" ht="15.75" x14ac:dyDescent="0.25">
      <c r="A35" s="14"/>
      <c r="B35" s="14"/>
      <c r="C35" s="14"/>
      <c r="D35" s="15">
        <v>18</v>
      </c>
      <c r="E35" s="25" t="s">
        <v>70</v>
      </c>
      <c r="F35" s="26" t="s">
        <v>71</v>
      </c>
      <c r="G35" s="26">
        <v>8548007.1400000006</v>
      </c>
      <c r="H35" s="26">
        <v>2657769</v>
      </c>
      <c r="I35" s="26">
        <v>0</v>
      </c>
      <c r="J35" s="27">
        <v>12074263</v>
      </c>
      <c r="K35" s="28" t="e">
        <f>+#REF!-#REF!</f>
        <v>#REF!</v>
      </c>
      <c r="L35" s="29"/>
      <c r="M35" s="29"/>
      <c r="N35" s="30">
        <v>948666.41</v>
      </c>
      <c r="O35" s="30">
        <v>932880.9</v>
      </c>
      <c r="P35" s="30">
        <v>1001902.53</v>
      </c>
      <c r="Q35" s="30">
        <v>913486.04</v>
      </c>
      <c r="R35" s="30">
        <f>985245.53+36586.3</f>
        <v>1021831.8300000001</v>
      </c>
      <c r="S35" s="30">
        <v>944051.9</v>
      </c>
      <c r="T35" s="30">
        <v>938448.56</v>
      </c>
      <c r="U35" s="30">
        <f>13132.32+962000.15+19697.75</f>
        <v>994830.22</v>
      </c>
      <c r="V35" s="31">
        <f>SUM(N35:U35)</f>
        <v>7696098.3899999997</v>
      </c>
      <c r="W35" s="22">
        <f t="shared" ref="W35:W36" si="7">+J35-L35+M35-V35</f>
        <v>4378164.6100000003</v>
      </c>
      <c r="X35" s="23"/>
    </row>
    <row r="36" spans="1:24" ht="16.5" thickBot="1" x14ac:dyDescent="0.3">
      <c r="A36" s="14"/>
      <c r="B36" s="14"/>
      <c r="C36" s="14"/>
      <c r="D36" s="33">
        <v>19</v>
      </c>
      <c r="E36" s="34" t="s">
        <v>72</v>
      </c>
      <c r="F36" s="35" t="s">
        <v>73</v>
      </c>
      <c r="G36" s="35">
        <v>1247614.18</v>
      </c>
      <c r="H36" s="35">
        <v>736490</v>
      </c>
      <c r="I36" s="35">
        <v>0</v>
      </c>
      <c r="J36" s="36">
        <v>2118658</v>
      </c>
      <c r="K36" s="37" t="e">
        <f>+#REF!-#REF!</f>
        <v>#REF!</v>
      </c>
      <c r="L36" s="38"/>
      <c r="M36" s="38"/>
      <c r="N36" s="39">
        <v>138810.38</v>
      </c>
      <c r="O36" s="39">
        <v>136789.70000000001</v>
      </c>
      <c r="P36" s="39">
        <v>146302.70000000001</v>
      </c>
      <c r="Q36" s="39">
        <v>133566.76</v>
      </c>
      <c r="R36" s="39">
        <f>145859.09+5325.54</f>
        <v>151184.63</v>
      </c>
      <c r="S36" s="39">
        <v>139601.14000000001</v>
      </c>
      <c r="T36" s="39">
        <v>138733.01</v>
      </c>
      <c r="U36" s="39">
        <f>1939.8+142224.82-3+2904.23-0.45</f>
        <v>147065.4</v>
      </c>
      <c r="V36" s="40">
        <f>SUM(N36:U36)</f>
        <v>1132053.72</v>
      </c>
      <c r="W36" s="22">
        <f t="shared" si="7"/>
        <v>986604.28</v>
      </c>
      <c r="X36" s="23"/>
    </row>
    <row r="37" spans="1:24" ht="16.5" thickBot="1" x14ac:dyDescent="0.3">
      <c r="A37" s="14"/>
      <c r="B37" s="14"/>
      <c r="C37" s="14"/>
      <c r="D37" s="41"/>
      <c r="E37" s="42"/>
      <c r="F37" s="43" t="s">
        <v>37</v>
      </c>
      <c r="G37" s="43"/>
      <c r="H37" s="43"/>
      <c r="I37" s="43"/>
      <c r="J37" s="44">
        <f>SUM(J34:J36)</f>
        <v>26910564</v>
      </c>
      <c r="K37" s="45" t="e">
        <f>SUM(K34:K36)</f>
        <v>#REF!</v>
      </c>
      <c r="L37" s="46"/>
      <c r="M37" s="46"/>
      <c r="N37" s="47">
        <f t="shared" ref="N37:V37" si="8">SUM(N34:N36)</f>
        <v>2027821.12</v>
      </c>
      <c r="O37" s="47">
        <f t="shared" si="8"/>
        <v>1994251.6199999999</v>
      </c>
      <c r="P37" s="47">
        <f t="shared" si="8"/>
        <v>2141710.7200000002</v>
      </c>
      <c r="Q37" s="47">
        <f t="shared" si="8"/>
        <v>1952266.26</v>
      </c>
      <c r="R37" s="47">
        <f t="shared" si="8"/>
        <v>2185514.14</v>
      </c>
      <c r="S37" s="47">
        <f>SUM(S34:S36)</f>
        <v>2018480.31</v>
      </c>
      <c r="T37" s="47">
        <f>SUM(T34:T36)</f>
        <v>2006413.3800000001</v>
      </c>
      <c r="U37" s="47">
        <f>SUM(U34:U36)</f>
        <v>2127429.73</v>
      </c>
      <c r="V37" s="48">
        <f t="shared" si="8"/>
        <v>16453887.280000001</v>
      </c>
      <c r="W37" s="49">
        <f>SUM(W32:W36)</f>
        <v>10456676.719999999</v>
      </c>
    </row>
    <row r="38" spans="1:24" ht="16.5" thickBot="1" x14ac:dyDescent="0.3">
      <c r="A38" s="14"/>
      <c r="B38" s="14"/>
      <c r="C38" s="14"/>
      <c r="D38" s="50"/>
      <c r="E38" s="51"/>
      <c r="F38" s="52"/>
      <c r="G38" s="52"/>
      <c r="H38" s="52"/>
      <c r="I38" s="52"/>
      <c r="J38" s="53"/>
      <c r="K38" s="54"/>
      <c r="L38" s="55"/>
      <c r="M38" s="55"/>
      <c r="N38" s="56"/>
      <c r="O38" s="56"/>
      <c r="P38" s="56"/>
      <c r="Q38" s="56"/>
      <c r="R38" s="56"/>
      <c r="S38" s="56"/>
      <c r="T38" s="56"/>
      <c r="U38" s="56"/>
      <c r="V38" s="57"/>
      <c r="W38" s="58"/>
    </row>
    <row r="39" spans="1:24" ht="16.5" thickBot="1" x14ac:dyDescent="0.3">
      <c r="A39" s="14"/>
      <c r="B39" s="14"/>
      <c r="C39" s="14"/>
      <c r="D39" s="41"/>
      <c r="E39" s="42" t="s">
        <v>74</v>
      </c>
      <c r="F39" s="43" t="s">
        <v>75</v>
      </c>
      <c r="G39" s="43"/>
      <c r="H39" s="43"/>
      <c r="I39" s="43"/>
      <c r="J39" s="44"/>
      <c r="K39" s="45"/>
      <c r="L39" s="46"/>
      <c r="M39" s="46"/>
      <c r="N39" s="47"/>
      <c r="O39" s="47"/>
      <c r="P39" s="47"/>
      <c r="Q39" s="47"/>
      <c r="R39" s="47"/>
      <c r="S39" s="47"/>
      <c r="T39" s="47"/>
      <c r="U39" s="47"/>
      <c r="V39" s="48"/>
      <c r="W39" s="49"/>
    </row>
    <row r="40" spans="1:24" ht="15.75" x14ac:dyDescent="0.25">
      <c r="A40" s="14"/>
      <c r="B40" s="14"/>
      <c r="C40" s="14"/>
      <c r="D40" s="15">
        <v>20</v>
      </c>
      <c r="E40" s="16" t="s">
        <v>76</v>
      </c>
      <c r="F40" s="17" t="s">
        <v>77</v>
      </c>
      <c r="G40" s="17">
        <v>0</v>
      </c>
      <c r="H40" s="17">
        <v>1128200</v>
      </c>
      <c r="I40" s="17">
        <v>800000</v>
      </c>
      <c r="J40" s="18">
        <v>1928200</v>
      </c>
      <c r="K40" s="19" t="e">
        <f>+#REF!-#REF!</f>
        <v>#REF!</v>
      </c>
      <c r="L40" s="20"/>
      <c r="M40" s="20">
        <v>1700000</v>
      </c>
      <c r="N40" s="21"/>
      <c r="O40" s="21">
        <v>213366.8</v>
      </c>
      <c r="P40" s="21">
        <v>921689.83</v>
      </c>
      <c r="Q40" s="21">
        <v>285674.5</v>
      </c>
      <c r="R40" s="21">
        <f>222559.63-100</f>
        <v>222459.63</v>
      </c>
      <c r="S40" s="21">
        <v>241513.54</v>
      </c>
      <c r="T40" s="21">
        <v>234199.14</v>
      </c>
      <c r="U40" s="21">
        <v>235317.84</v>
      </c>
      <c r="V40" s="22">
        <f>SUM(N40:P40)+Q40+R40+S40+T40+U40</f>
        <v>2354221.2799999998</v>
      </c>
      <c r="W40" s="22">
        <f>+J40-L40+M40-V40</f>
        <v>1273978.7200000002</v>
      </c>
      <c r="X40" s="23"/>
    </row>
    <row r="41" spans="1:24" ht="15.75" x14ac:dyDescent="0.25">
      <c r="A41" s="14"/>
      <c r="B41" s="14"/>
      <c r="C41" s="14"/>
      <c r="D41" s="24">
        <v>21</v>
      </c>
      <c r="E41" s="25" t="s">
        <v>78</v>
      </c>
      <c r="F41" s="26" t="s">
        <v>79</v>
      </c>
      <c r="G41" s="26">
        <v>0</v>
      </c>
      <c r="H41" s="26">
        <v>1000</v>
      </c>
      <c r="I41" s="26">
        <v>10000</v>
      </c>
      <c r="J41" s="27">
        <v>11000</v>
      </c>
      <c r="K41" s="28" t="e">
        <f>+#REF!-#REF!</f>
        <v>#REF!</v>
      </c>
      <c r="L41" s="29"/>
      <c r="M41" s="29"/>
      <c r="N41" s="30"/>
      <c r="O41" s="30"/>
      <c r="P41" s="30"/>
      <c r="Q41" s="30"/>
      <c r="R41" s="21"/>
      <c r="S41" s="21"/>
      <c r="T41" s="21"/>
      <c r="U41" s="21"/>
      <c r="V41" s="22">
        <f t="shared" ref="V41:V44" si="9">SUM(N41:P41)+Q41+R41+S41+T41+U41</f>
        <v>0</v>
      </c>
      <c r="W41" s="22">
        <f t="shared" ref="W41:W44" si="10">+J41-L41+M41-V41</f>
        <v>11000</v>
      </c>
    </row>
    <row r="42" spans="1:24" ht="15.75" x14ac:dyDescent="0.25">
      <c r="A42" s="14"/>
      <c r="B42" s="14"/>
      <c r="C42" s="14"/>
      <c r="D42" s="33">
        <v>22</v>
      </c>
      <c r="E42" s="34" t="s">
        <v>80</v>
      </c>
      <c r="F42" s="35" t="s">
        <v>81</v>
      </c>
      <c r="G42" s="35">
        <v>0</v>
      </c>
      <c r="H42" s="35">
        <v>800000</v>
      </c>
      <c r="I42" s="35">
        <v>500000</v>
      </c>
      <c r="J42" s="36">
        <v>1300000</v>
      </c>
      <c r="K42" s="37" t="e">
        <f>+#REF!-#REF!</f>
        <v>#REF!</v>
      </c>
      <c r="L42" s="38"/>
      <c r="M42" s="38"/>
      <c r="N42" s="39"/>
      <c r="O42" s="39">
        <v>76659.990000000005</v>
      </c>
      <c r="P42" s="39">
        <v>149076.51</v>
      </c>
      <c r="Q42" s="39">
        <v>78057.59</v>
      </c>
      <c r="R42" s="59">
        <v>79842.490000000005</v>
      </c>
      <c r="S42" s="59">
        <v>80055.600000000006</v>
      </c>
      <c r="T42" s="59">
        <v>80156.639999999999</v>
      </c>
      <c r="U42" s="59">
        <v>81836.429999999993</v>
      </c>
      <c r="V42" s="22">
        <f t="shared" si="9"/>
        <v>625685.25</v>
      </c>
      <c r="W42" s="22">
        <f t="shared" si="10"/>
        <v>674314.75</v>
      </c>
      <c r="X42" s="23"/>
    </row>
    <row r="43" spans="1:24" ht="15.75" x14ac:dyDescent="0.25">
      <c r="A43" s="14"/>
      <c r="B43" s="14"/>
      <c r="C43" s="14"/>
      <c r="D43" s="24">
        <v>23</v>
      </c>
      <c r="E43" s="25" t="s">
        <v>82</v>
      </c>
      <c r="F43" s="26" t="s">
        <v>83</v>
      </c>
      <c r="G43" s="26">
        <v>0</v>
      </c>
      <c r="H43" s="26">
        <v>1200000</v>
      </c>
      <c r="I43" s="26">
        <v>0</v>
      </c>
      <c r="J43" s="27">
        <v>250000</v>
      </c>
      <c r="K43" s="28" t="e">
        <f>+#REF!-#REF!</f>
        <v>#REF!</v>
      </c>
      <c r="L43" s="29"/>
      <c r="M43" s="29"/>
      <c r="N43" s="30"/>
      <c r="O43" s="30">
        <v>10834.86</v>
      </c>
      <c r="P43" s="30"/>
      <c r="Q43" s="30">
        <v>9973.11</v>
      </c>
      <c r="R43" s="21">
        <f>27487.08-18331.97</f>
        <v>9155.11</v>
      </c>
      <c r="S43" s="21">
        <v>4928.2700000000004</v>
      </c>
      <c r="T43" s="21">
        <v>9308.8799999999992</v>
      </c>
      <c r="U43" s="21">
        <v>6522.71</v>
      </c>
      <c r="V43" s="22">
        <f t="shared" si="9"/>
        <v>50722.94</v>
      </c>
      <c r="W43" s="22">
        <f t="shared" si="10"/>
        <v>199277.06</v>
      </c>
      <c r="X43" s="23"/>
    </row>
    <row r="44" spans="1:24" ht="16.5" thickBot="1" x14ac:dyDescent="0.3">
      <c r="A44" s="14"/>
      <c r="B44" s="14"/>
      <c r="C44" s="14"/>
      <c r="D44" s="33">
        <v>24</v>
      </c>
      <c r="E44" s="34" t="s">
        <v>84</v>
      </c>
      <c r="F44" s="35" t="s">
        <v>85</v>
      </c>
      <c r="G44" s="35">
        <v>2987140</v>
      </c>
      <c r="H44" s="35">
        <v>0</v>
      </c>
      <c r="I44" s="35">
        <v>1000000</v>
      </c>
      <c r="J44" s="36">
        <v>3049838</v>
      </c>
      <c r="K44" s="37" t="e">
        <f>+#REF!-#REF!</f>
        <v>#REF!</v>
      </c>
      <c r="L44" s="38">
        <v>627140</v>
      </c>
      <c r="M44" s="38">
        <v>627140</v>
      </c>
      <c r="N44" s="39"/>
      <c r="O44" s="39"/>
      <c r="P44" s="39">
        <v>518641.86</v>
      </c>
      <c r="Q44" s="39">
        <v>268096.01</v>
      </c>
      <c r="R44" s="59">
        <v>288389.31</v>
      </c>
      <c r="S44" s="59">
        <v>238555.05</v>
      </c>
      <c r="T44" s="59">
        <v>277302.98</v>
      </c>
      <c r="U44" s="59">
        <v>284464.44</v>
      </c>
      <c r="V44" s="22">
        <f t="shared" si="9"/>
        <v>1875449.65</v>
      </c>
      <c r="W44" s="22">
        <f t="shared" si="10"/>
        <v>1174388.3500000001</v>
      </c>
      <c r="X44" s="23"/>
    </row>
    <row r="45" spans="1:24" ht="16.5" thickBot="1" x14ac:dyDescent="0.3">
      <c r="A45" s="14"/>
      <c r="B45" s="14"/>
      <c r="C45" s="14"/>
      <c r="D45" s="41"/>
      <c r="E45" s="42"/>
      <c r="F45" s="43" t="s">
        <v>37</v>
      </c>
      <c r="G45" s="43"/>
      <c r="H45" s="43"/>
      <c r="I45" s="43"/>
      <c r="J45" s="44">
        <f>SUM(J40:J44)</f>
        <v>6539038</v>
      </c>
      <c r="K45" s="45" t="e">
        <f>SUM(K40:K44)</f>
        <v>#REF!</v>
      </c>
      <c r="L45" s="46">
        <f>SUM(L40:L44)</f>
        <v>627140</v>
      </c>
      <c r="M45" s="46">
        <f>SUM(M40:M44)</f>
        <v>2327140</v>
      </c>
      <c r="N45" s="47"/>
      <c r="O45" s="47">
        <f t="shared" ref="O45:W45" si="11">SUM(O40:O44)</f>
        <v>300861.64999999997</v>
      </c>
      <c r="P45" s="47">
        <f t="shared" si="11"/>
        <v>1589408.1999999997</v>
      </c>
      <c r="Q45" s="47">
        <f t="shared" si="11"/>
        <v>641801.21</v>
      </c>
      <c r="R45" s="47">
        <f t="shared" si="11"/>
        <v>599846.54</v>
      </c>
      <c r="S45" s="47">
        <f>SUM(S40:S44)</f>
        <v>565052.46</v>
      </c>
      <c r="T45" s="47">
        <f>SUM(T40:T44)</f>
        <v>600967.64</v>
      </c>
      <c r="U45" s="47">
        <f>SUM(U40:U44)</f>
        <v>608141.42000000004</v>
      </c>
      <c r="V45" s="48">
        <f t="shared" si="11"/>
        <v>4906079.1199999992</v>
      </c>
      <c r="W45" s="49">
        <f t="shared" si="11"/>
        <v>3332958.8800000004</v>
      </c>
    </row>
    <row r="46" spans="1:24" ht="16.5" thickBot="1" x14ac:dyDescent="0.3">
      <c r="A46" s="14"/>
      <c r="B46" s="14"/>
      <c r="C46" s="14"/>
      <c r="D46" s="50"/>
      <c r="E46" s="51"/>
      <c r="F46" s="52"/>
      <c r="G46" s="52"/>
      <c r="H46" s="52"/>
      <c r="I46" s="52"/>
      <c r="J46" s="53"/>
      <c r="K46" s="54"/>
      <c r="L46" s="55"/>
      <c r="M46" s="55"/>
      <c r="N46" s="56"/>
      <c r="O46" s="56"/>
      <c r="P46" s="56"/>
      <c r="Q46" s="56"/>
      <c r="R46" s="56"/>
      <c r="S46" s="56"/>
      <c r="T46" s="56"/>
      <c r="U46" s="56"/>
      <c r="V46" s="57"/>
      <c r="W46" s="58"/>
    </row>
    <row r="47" spans="1:24" ht="16.5" thickBot="1" x14ac:dyDescent="0.3">
      <c r="A47" s="14"/>
      <c r="B47" s="14"/>
      <c r="C47" s="14"/>
      <c r="D47" s="41"/>
      <c r="E47" s="42" t="s">
        <v>86</v>
      </c>
      <c r="F47" s="43" t="s">
        <v>87</v>
      </c>
      <c r="G47" s="43"/>
      <c r="H47" s="43"/>
      <c r="I47" s="43"/>
      <c r="J47" s="44"/>
      <c r="K47" s="45"/>
      <c r="L47" s="46"/>
      <c r="M47" s="46"/>
      <c r="N47" s="47"/>
      <c r="O47" s="47"/>
      <c r="P47" s="47"/>
      <c r="Q47" s="47"/>
      <c r="R47" s="47"/>
      <c r="S47" s="47"/>
      <c r="T47" s="47"/>
      <c r="U47" s="47"/>
      <c r="V47" s="48"/>
      <c r="W47" s="49"/>
    </row>
    <row r="48" spans="1:24" ht="15.75" x14ac:dyDescent="0.25">
      <c r="A48" s="14"/>
      <c r="B48" s="14"/>
      <c r="C48" s="14"/>
      <c r="D48" s="15">
        <v>25</v>
      </c>
      <c r="E48" s="16" t="s">
        <v>88</v>
      </c>
      <c r="F48" s="17" t="s">
        <v>89</v>
      </c>
      <c r="G48" s="17">
        <v>0</v>
      </c>
      <c r="H48" s="17">
        <v>1000000</v>
      </c>
      <c r="I48" s="17">
        <v>500000</v>
      </c>
      <c r="J48" s="18">
        <v>600000</v>
      </c>
      <c r="K48" s="19" t="e">
        <f>+#REF!-#REF!</f>
        <v>#REF!</v>
      </c>
      <c r="L48" s="20"/>
      <c r="M48" s="20">
        <v>514000</v>
      </c>
      <c r="N48" s="21"/>
      <c r="O48" s="21">
        <v>27999.64</v>
      </c>
      <c r="P48" s="21"/>
      <c r="Q48" s="21">
        <v>143897.46</v>
      </c>
      <c r="R48" s="21">
        <f>5000</f>
        <v>5000</v>
      </c>
      <c r="S48" s="21">
        <v>5000</v>
      </c>
      <c r="T48" s="21"/>
      <c r="U48" s="21"/>
      <c r="V48" s="22">
        <f>+O48+P48+Q48+R48+S48</f>
        <v>181897.09999999998</v>
      </c>
      <c r="W48" s="74">
        <f>+J48-L48+M48-V48</f>
        <v>932102.9</v>
      </c>
      <c r="X48" s="23"/>
    </row>
    <row r="49" spans="1:24" ht="16.5" thickBot="1" x14ac:dyDescent="0.3">
      <c r="A49" s="14"/>
      <c r="B49" s="14"/>
      <c r="C49" s="14"/>
      <c r="D49" s="33">
        <v>26</v>
      </c>
      <c r="E49" s="34" t="s">
        <v>90</v>
      </c>
      <c r="F49" s="35" t="s">
        <v>91</v>
      </c>
      <c r="G49" s="35">
        <v>0</v>
      </c>
      <c r="H49" s="35">
        <v>400000</v>
      </c>
      <c r="I49" s="35">
        <v>200000</v>
      </c>
      <c r="J49" s="36">
        <v>1500000</v>
      </c>
      <c r="K49" s="37" t="e">
        <f>+#REF!-#REF!</f>
        <v>#REF!</v>
      </c>
      <c r="L49" s="38">
        <f>682367+200000+600000</f>
        <v>1482367</v>
      </c>
      <c r="M49" s="38"/>
      <c r="N49" s="39"/>
      <c r="O49" s="39">
        <v>127086</v>
      </c>
      <c r="P49" s="39">
        <v>27081</v>
      </c>
      <c r="Q49" s="39">
        <v>15000</v>
      </c>
      <c r="R49" s="59">
        <f>19768.25-11803.25</f>
        <v>7965</v>
      </c>
      <c r="S49" s="59"/>
      <c r="T49" s="59"/>
      <c r="U49" s="59">
        <v>19912.5</v>
      </c>
      <c r="V49" s="74">
        <f>+O49+P49+Q49+R49+T49+U49</f>
        <v>197044.5</v>
      </c>
      <c r="W49" s="74">
        <f>+J49-L49+M49-V49</f>
        <v>-179411.5</v>
      </c>
      <c r="X49" s="23"/>
    </row>
    <row r="50" spans="1:24" ht="16.5" thickBot="1" x14ac:dyDescent="0.3">
      <c r="A50" s="14"/>
      <c r="B50" s="14"/>
      <c r="C50" s="14"/>
      <c r="D50" s="41"/>
      <c r="E50" s="42"/>
      <c r="F50" s="43" t="s">
        <v>37</v>
      </c>
      <c r="G50" s="43"/>
      <c r="H50" s="43"/>
      <c r="I50" s="43"/>
      <c r="J50" s="44">
        <f>SUM(J48:J49)</f>
        <v>2100000</v>
      </c>
      <c r="K50" s="45" t="e">
        <f>SUM(K48:K49)</f>
        <v>#REF!</v>
      </c>
      <c r="L50" s="46">
        <f>+L48+L49</f>
        <v>1482367</v>
      </c>
      <c r="M50" s="46">
        <f>SUM(M48:M49)</f>
        <v>514000</v>
      </c>
      <c r="N50" s="47"/>
      <c r="O50" s="47">
        <f>SUM(O48:O49)</f>
        <v>155085.64000000001</v>
      </c>
      <c r="P50" s="47">
        <f>SUM(P49)</f>
        <v>27081</v>
      </c>
      <c r="Q50" s="47">
        <f t="shared" ref="Q50:W50" si="12">SUM(Q48:Q49)</f>
        <v>158897.46</v>
      </c>
      <c r="R50" s="47">
        <f t="shared" si="12"/>
        <v>12965</v>
      </c>
      <c r="S50" s="47">
        <f t="shared" si="12"/>
        <v>5000</v>
      </c>
      <c r="T50" s="47">
        <f>SUM(T49)</f>
        <v>0</v>
      </c>
      <c r="U50" s="47">
        <f>SUM(U49)</f>
        <v>19912.5</v>
      </c>
      <c r="V50" s="48">
        <f t="shared" si="12"/>
        <v>378941.6</v>
      </c>
      <c r="W50" s="49">
        <f t="shared" si="12"/>
        <v>752691.4</v>
      </c>
    </row>
    <row r="51" spans="1:24" ht="16.5" thickBot="1" x14ac:dyDescent="0.3">
      <c r="A51" s="14"/>
      <c r="B51" s="14"/>
      <c r="C51" s="14"/>
      <c r="D51" s="50"/>
      <c r="E51" s="51"/>
      <c r="F51" s="52"/>
      <c r="G51" s="52"/>
      <c r="H51" s="52"/>
      <c r="I51" s="52"/>
      <c r="J51" s="53"/>
      <c r="K51" s="54"/>
      <c r="L51" s="55"/>
      <c r="M51" s="55"/>
      <c r="N51" s="56"/>
      <c r="O51" s="56"/>
      <c r="P51" s="56"/>
      <c r="Q51" s="56"/>
      <c r="R51" s="56"/>
      <c r="S51" s="56"/>
      <c r="T51" s="56"/>
      <c r="U51" s="56"/>
      <c r="V51" s="57"/>
      <c r="W51" s="58"/>
    </row>
    <row r="52" spans="1:24" ht="16.5" thickBot="1" x14ac:dyDescent="0.3">
      <c r="A52" s="14"/>
      <c r="B52" s="14"/>
      <c r="C52" s="14"/>
      <c r="D52" s="41"/>
      <c r="E52" s="42" t="s">
        <v>92</v>
      </c>
      <c r="F52" s="43" t="s">
        <v>93</v>
      </c>
      <c r="G52" s="43"/>
      <c r="H52" s="43"/>
      <c r="I52" s="43"/>
      <c r="J52" s="44"/>
      <c r="K52" s="45"/>
      <c r="L52" s="46"/>
      <c r="M52" s="46"/>
      <c r="N52" s="47"/>
      <c r="O52" s="47"/>
      <c r="P52" s="47"/>
      <c r="Q52" s="47"/>
      <c r="R52" s="47"/>
      <c r="S52" s="47"/>
      <c r="T52" s="47"/>
      <c r="U52" s="47"/>
      <c r="V52" s="48"/>
      <c r="W52" s="49"/>
    </row>
    <row r="53" spans="1:24" ht="15.75" x14ac:dyDescent="0.25">
      <c r="A53" s="14"/>
      <c r="B53" s="14"/>
      <c r="C53" s="14"/>
      <c r="D53" s="15">
        <v>27</v>
      </c>
      <c r="E53" s="16" t="s">
        <v>94</v>
      </c>
      <c r="F53" s="17" t="s">
        <v>95</v>
      </c>
      <c r="G53" s="17">
        <v>0</v>
      </c>
      <c r="H53" s="17">
        <v>200000</v>
      </c>
      <c r="I53" s="17">
        <v>400000</v>
      </c>
      <c r="J53" s="18">
        <v>450000</v>
      </c>
      <c r="K53" s="19" t="e">
        <f>+#REF!-#REF!</f>
        <v>#REF!</v>
      </c>
      <c r="L53" s="20">
        <f>200000+200000</f>
        <v>400000</v>
      </c>
      <c r="M53" s="20"/>
      <c r="N53" s="21"/>
      <c r="O53" s="21"/>
      <c r="P53" s="21"/>
      <c r="Q53" s="21"/>
      <c r="R53" s="21"/>
      <c r="S53" s="21"/>
      <c r="T53" s="21"/>
      <c r="U53" s="21"/>
      <c r="V53" s="22">
        <f t="shared" si="0"/>
        <v>0</v>
      </c>
      <c r="W53" s="22">
        <f>+J53-L53+M53-V53</f>
        <v>50000</v>
      </c>
    </row>
    <row r="54" spans="1:24" ht="16.5" thickBot="1" x14ac:dyDescent="0.3">
      <c r="A54" s="14"/>
      <c r="B54" s="14"/>
      <c r="C54" s="14"/>
      <c r="D54" s="33">
        <v>28</v>
      </c>
      <c r="E54" s="34" t="s">
        <v>96</v>
      </c>
      <c r="F54" s="35" t="s">
        <v>97</v>
      </c>
      <c r="G54" s="35">
        <v>0</v>
      </c>
      <c r="H54" s="35">
        <v>900000</v>
      </c>
      <c r="I54" s="35">
        <v>200000</v>
      </c>
      <c r="J54" s="36">
        <v>750000</v>
      </c>
      <c r="K54" s="37" t="e">
        <f>+#REF!-#REF!</f>
        <v>#REF!</v>
      </c>
      <c r="L54" s="38"/>
      <c r="M54" s="38">
        <f>50000+688000</f>
        <v>738000</v>
      </c>
      <c r="N54" s="39"/>
      <c r="O54" s="39"/>
      <c r="P54" s="39">
        <v>779158.95</v>
      </c>
      <c r="Q54" s="39">
        <v>24305.33</v>
      </c>
      <c r="R54" s="39"/>
      <c r="S54" s="39"/>
      <c r="T54" s="39"/>
      <c r="U54" s="39"/>
      <c r="V54" s="40">
        <f>SUM(P54:Q54)</f>
        <v>803464.27999999991</v>
      </c>
      <c r="W54" s="22">
        <f>+J54-L54+M54-V54</f>
        <v>684535.72000000009</v>
      </c>
      <c r="X54" s="23"/>
    </row>
    <row r="55" spans="1:24" ht="16.5" thickBot="1" x14ac:dyDescent="0.3">
      <c r="A55" s="14"/>
      <c r="B55" s="14"/>
      <c r="C55" s="14"/>
      <c r="D55" s="41"/>
      <c r="E55" s="42"/>
      <c r="F55" s="43" t="s">
        <v>37</v>
      </c>
      <c r="G55" s="43"/>
      <c r="H55" s="43"/>
      <c r="I55" s="43"/>
      <c r="J55" s="44">
        <f>SUM(J53:J54)</f>
        <v>1200000</v>
      </c>
      <c r="K55" s="45" t="e">
        <f>SUM(K53:K54)</f>
        <v>#REF!</v>
      </c>
      <c r="L55" s="46">
        <f>+L53</f>
        <v>400000</v>
      </c>
      <c r="M55" s="46">
        <f>SUM(M54)</f>
        <v>738000</v>
      </c>
      <c r="N55" s="47"/>
      <c r="O55" s="47"/>
      <c r="P55" s="47">
        <f>SUM(P54)</f>
        <v>779158.95</v>
      </c>
      <c r="Q55" s="47">
        <f>SUM(Q54)</f>
        <v>24305.33</v>
      </c>
      <c r="R55" s="47"/>
      <c r="S55" s="47"/>
      <c r="T55" s="47"/>
      <c r="U55" s="47"/>
      <c r="V55" s="48">
        <f>SUM(V53:V54)</f>
        <v>803464.27999999991</v>
      </c>
      <c r="W55" s="49">
        <f>SUM(W53:W54)</f>
        <v>734535.72000000009</v>
      </c>
    </row>
    <row r="56" spans="1:24" ht="16.5" thickBot="1" x14ac:dyDescent="0.3">
      <c r="A56" s="14"/>
      <c r="B56" s="14"/>
      <c r="C56" s="14"/>
      <c r="D56" s="50"/>
      <c r="E56" s="51"/>
      <c r="F56" s="52"/>
      <c r="G56" s="52"/>
      <c r="H56" s="52"/>
      <c r="I56" s="52"/>
      <c r="J56" s="53"/>
      <c r="K56" s="54"/>
      <c r="L56" s="55"/>
      <c r="M56" s="55"/>
      <c r="N56" s="56"/>
      <c r="O56" s="56"/>
      <c r="P56" s="56"/>
      <c r="Q56" s="56"/>
      <c r="R56" s="56"/>
      <c r="S56" s="56"/>
      <c r="T56" s="56"/>
      <c r="U56" s="56"/>
      <c r="V56" s="57"/>
      <c r="W56" s="58"/>
    </row>
    <row r="57" spans="1:24" ht="16.5" thickBot="1" x14ac:dyDescent="0.3">
      <c r="A57" s="14"/>
      <c r="B57" s="14"/>
      <c r="C57" s="14"/>
      <c r="D57" s="41"/>
      <c r="E57" s="42" t="s">
        <v>98</v>
      </c>
      <c r="F57" s="43" t="s">
        <v>99</v>
      </c>
      <c r="G57" s="43"/>
      <c r="H57" s="43"/>
      <c r="I57" s="43"/>
      <c r="J57" s="44"/>
      <c r="K57" s="45"/>
      <c r="L57" s="46"/>
      <c r="M57" s="46"/>
      <c r="N57" s="47"/>
      <c r="O57" s="47"/>
      <c r="P57" s="47"/>
      <c r="Q57" s="47"/>
      <c r="R57" s="47"/>
      <c r="S57" s="47"/>
      <c r="T57" s="47"/>
      <c r="U57" s="47"/>
      <c r="V57" s="48"/>
      <c r="W57" s="49"/>
    </row>
    <row r="58" spans="1:24" ht="15.75" x14ac:dyDescent="0.25">
      <c r="A58" s="14"/>
      <c r="B58" s="14"/>
      <c r="C58" s="14"/>
      <c r="D58" s="15">
        <v>29</v>
      </c>
      <c r="E58" s="16" t="s">
        <v>100</v>
      </c>
      <c r="F58" s="17" t="s">
        <v>101</v>
      </c>
      <c r="G58" s="17">
        <v>0</v>
      </c>
      <c r="H58" s="17">
        <v>200000</v>
      </c>
      <c r="I58" s="17">
        <v>150000</v>
      </c>
      <c r="J58" s="18">
        <v>350000</v>
      </c>
      <c r="K58" s="19" t="e">
        <f>+#REF!-#REF!</f>
        <v>#REF!</v>
      </c>
      <c r="L58" s="20"/>
      <c r="M58" s="20">
        <v>253000</v>
      </c>
      <c r="N58" s="21"/>
      <c r="O58" s="21"/>
      <c r="P58" s="21">
        <v>173572.32</v>
      </c>
      <c r="Q58" s="21">
        <v>0</v>
      </c>
      <c r="R58" s="21"/>
      <c r="S58" s="21"/>
      <c r="T58" s="21"/>
      <c r="U58" s="21"/>
      <c r="V58" s="22">
        <f>SUM(N58:P58)+R58</f>
        <v>173572.32</v>
      </c>
      <c r="W58" s="22">
        <f>+J58-L58+M58-V58</f>
        <v>429427.68</v>
      </c>
    </row>
    <row r="59" spans="1:24" ht="15.75" x14ac:dyDescent="0.25">
      <c r="A59" s="14"/>
      <c r="B59" s="14"/>
      <c r="C59" s="14"/>
      <c r="D59" s="24">
        <v>30</v>
      </c>
      <c r="E59" s="25" t="s">
        <v>102</v>
      </c>
      <c r="F59" s="26" t="s">
        <v>103</v>
      </c>
      <c r="G59" s="26"/>
      <c r="H59" s="26"/>
      <c r="I59" s="26"/>
      <c r="J59" s="27"/>
      <c r="K59" s="28"/>
      <c r="L59" s="29"/>
      <c r="M59" s="29">
        <v>34000</v>
      </c>
      <c r="N59" s="30"/>
      <c r="O59" s="30"/>
      <c r="P59" s="30"/>
      <c r="Q59" s="30"/>
      <c r="R59" s="30">
        <v>9796</v>
      </c>
      <c r="S59" s="30">
        <f>18604-8700</f>
        <v>9904</v>
      </c>
      <c r="T59" s="30">
        <v>2000</v>
      </c>
      <c r="U59" s="30">
        <v>9700</v>
      </c>
      <c r="V59" s="31">
        <f>9796+S59+T59+U59</f>
        <v>31400</v>
      </c>
      <c r="W59" s="22">
        <f t="shared" ref="W59:W61" si="13">+J59-L59+M59-V59</f>
        <v>2600</v>
      </c>
      <c r="X59" s="23"/>
    </row>
    <row r="60" spans="1:24" ht="15.75" x14ac:dyDescent="0.25">
      <c r="A60" s="14"/>
      <c r="B60" s="14"/>
      <c r="C60" s="14"/>
      <c r="D60" s="24">
        <v>31</v>
      </c>
      <c r="E60" s="25" t="s">
        <v>104</v>
      </c>
      <c r="F60" s="26" t="s">
        <v>105</v>
      </c>
      <c r="G60" s="26"/>
      <c r="H60" s="26"/>
      <c r="I60" s="26"/>
      <c r="J60" s="27"/>
      <c r="K60" s="28"/>
      <c r="L60" s="29"/>
      <c r="M60" s="29">
        <v>1416</v>
      </c>
      <c r="N60" s="30"/>
      <c r="O60" s="30"/>
      <c r="P60" s="30"/>
      <c r="Q60" s="30"/>
      <c r="R60" s="30"/>
      <c r="S60" s="30"/>
      <c r="T60" s="30"/>
      <c r="U60" s="30"/>
      <c r="V60" s="31">
        <f>+R60</f>
        <v>0</v>
      </c>
      <c r="W60" s="22">
        <f t="shared" si="13"/>
        <v>1416</v>
      </c>
    </row>
    <row r="61" spans="1:24" ht="16.5" thickBot="1" x14ac:dyDescent="0.3">
      <c r="A61" s="14"/>
      <c r="B61" s="14"/>
      <c r="C61" s="14"/>
      <c r="D61" s="33">
        <v>32</v>
      </c>
      <c r="E61" s="34" t="s">
        <v>106</v>
      </c>
      <c r="F61" s="35" t="s">
        <v>107</v>
      </c>
      <c r="G61" s="35"/>
      <c r="H61" s="35"/>
      <c r="I61" s="35"/>
      <c r="J61" s="36"/>
      <c r="K61" s="37"/>
      <c r="L61" s="38"/>
      <c r="M61" s="38">
        <v>6000</v>
      </c>
      <c r="N61" s="39"/>
      <c r="O61" s="39"/>
      <c r="P61" s="39"/>
      <c r="Q61" s="39"/>
      <c r="R61" s="39"/>
      <c r="S61" s="39"/>
      <c r="T61" s="39"/>
      <c r="U61" s="39"/>
      <c r="V61" s="40">
        <f>+R61</f>
        <v>0</v>
      </c>
      <c r="W61" s="22">
        <f t="shared" si="13"/>
        <v>6000</v>
      </c>
    </row>
    <row r="62" spans="1:24" ht="16.5" thickBot="1" x14ac:dyDescent="0.3">
      <c r="A62" s="14"/>
      <c r="B62" s="14"/>
      <c r="C62" s="14"/>
      <c r="D62" s="75"/>
      <c r="E62" s="76"/>
      <c r="F62" s="43" t="s">
        <v>37</v>
      </c>
      <c r="G62" s="77"/>
      <c r="H62" s="77"/>
      <c r="I62" s="77"/>
      <c r="J62" s="44">
        <v>350000</v>
      </c>
      <c r="K62" s="78"/>
      <c r="L62" s="79"/>
      <c r="M62" s="46">
        <f>SUM(M58:M61)</f>
        <v>294416</v>
      </c>
      <c r="N62" s="80"/>
      <c r="O62" s="80"/>
      <c r="P62" s="47">
        <f>SUM(P58)</f>
        <v>173572.32</v>
      </c>
      <c r="Q62" s="47"/>
      <c r="R62" s="47">
        <f>SUM(R58:R61)</f>
        <v>9796</v>
      </c>
      <c r="S62" s="47">
        <f>SUM(S59:S61)</f>
        <v>9904</v>
      </c>
      <c r="T62" s="47">
        <f>SUM(T59:T61)</f>
        <v>2000</v>
      </c>
      <c r="U62" s="47">
        <f>SUM(U59:U61)</f>
        <v>9700</v>
      </c>
      <c r="V62" s="48">
        <f>SUM(V58:V61)</f>
        <v>204972.32</v>
      </c>
      <c r="W62" s="49">
        <f>SUM(W58:W61)</f>
        <v>439443.68</v>
      </c>
    </row>
    <row r="63" spans="1:24" ht="16.5" thickBot="1" x14ac:dyDescent="0.3">
      <c r="A63" s="14"/>
      <c r="B63" s="14"/>
      <c r="C63" s="14"/>
      <c r="D63" s="81"/>
      <c r="E63" s="82"/>
      <c r="F63" s="52"/>
      <c r="G63" s="83"/>
      <c r="H63" s="83"/>
      <c r="I63" s="83"/>
      <c r="J63" s="84"/>
      <c r="K63" s="85"/>
      <c r="L63" s="86"/>
      <c r="M63" s="86"/>
      <c r="N63" s="59"/>
      <c r="O63" s="59"/>
      <c r="P63" s="59"/>
      <c r="Q63" s="59"/>
      <c r="R63" s="59"/>
      <c r="S63" s="59"/>
      <c r="T63" s="59"/>
      <c r="U63" s="59"/>
      <c r="V63" s="74"/>
      <c r="W63" s="74"/>
    </row>
    <row r="64" spans="1:24" ht="16.5" thickBot="1" x14ac:dyDescent="0.3">
      <c r="A64" s="14"/>
      <c r="B64" s="14"/>
      <c r="C64" s="14"/>
      <c r="D64" s="41"/>
      <c r="E64" s="42" t="s">
        <v>108</v>
      </c>
      <c r="F64" s="43" t="s">
        <v>109</v>
      </c>
      <c r="G64" s="43"/>
      <c r="H64" s="43"/>
      <c r="I64" s="43"/>
      <c r="J64" s="44"/>
      <c r="K64" s="45"/>
      <c r="L64" s="46"/>
      <c r="M64" s="46"/>
      <c r="N64" s="47"/>
      <c r="O64" s="47"/>
      <c r="P64" s="47"/>
      <c r="Q64" s="47"/>
      <c r="R64" s="47"/>
      <c r="S64" s="47"/>
      <c r="T64" s="47"/>
      <c r="U64" s="47"/>
      <c r="V64" s="48"/>
      <c r="W64" s="49"/>
    </row>
    <row r="65" spans="1:24" ht="15.75" x14ac:dyDescent="0.25">
      <c r="A65" s="14"/>
      <c r="B65" s="14"/>
      <c r="C65" s="14"/>
      <c r="D65" s="15">
        <v>33</v>
      </c>
      <c r="E65" s="16" t="s">
        <v>110</v>
      </c>
      <c r="F65" s="17" t="s">
        <v>111</v>
      </c>
      <c r="G65" s="17">
        <v>4680960</v>
      </c>
      <c r="H65" s="17">
        <v>1200000</v>
      </c>
      <c r="I65" s="17">
        <v>0</v>
      </c>
      <c r="J65" s="18">
        <v>5880960</v>
      </c>
      <c r="K65" s="19" t="e">
        <f>+#REF!-#REF!</f>
        <v>#REF!</v>
      </c>
      <c r="L65" s="87">
        <v>300000</v>
      </c>
      <c r="M65" s="87"/>
      <c r="N65" s="21">
        <v>383317.59</v>
      </c>
      <c r="O65" s="21">
        <v>383317.59</v>
      </c>
      <c r="P65" s="21">
        <v>259282.41</v>
      </c>
      <c r="Q65" s="21">
        <v>271980</v>
      </c>
      <c r="R65" s="21">
        <v>311460</v>
      </c>
      <c r="S65" s="21">
        <v>311460</v>
      </c>
      <c r="T65" s="21">
        <v>384987.95</v>
      </c>
      <c r="U65" s="21">
        <f>168460+105180+201280</f>
        <v>474920</v>
      </c>
      <c r="V65" s="22">
        <f>SUM(N65:U65)</f>
        <v>2780725.54</v>
      </c>
      <c r="W65" s="22">
        <f>+J65-L65+M65-V65</f>
        <v>2800234.46</v>
      </c>
      <c r="X65" s="23"/>
    </row>
    <row r="66" spans="1:24" ht="15.75" x14ac:dyDescent="0.25">
      <c r="A66" s="14"/>
      <c r="B66" s="14"/>
      <c r="C66" s="14"/>
      <c r="D66" s="15"/>
      <c r="E66" s="16" t="s">
        <v>112</v>
      </c>
      <c r="F66" s="17" t="s">
        <v>113</v>
      </c>
      <c r="G66" s="17"/>
      <c r="H66" s="17"/>
      <c r="I66" s="17"/>
      <c r="J66" s="18"/>
      <c r="K66" s="19"/>
      <c r="L66" s="87"/>
      <c r="M66" s="87">
        <v>12980</v>
      </c>
      <c r="N66" s="21"/>
      <c r="O66" s="21"/>
      <c r="P66" s="21"/>
      <c r="Q66" s="21"/>
      <c r="R66" s="21"/>
      <c r="S66" s="21"/>
      <c r="T66" s="21">
        <v>12980</v>
      </c>
      <c r="U66" s="21" t="s">
        <v>0</v>
      </c>
      <c r="V66" s="22">
        <f>+T66</f>
        <v>12980</v>
      </c>
      <c r="W66" s="22">
        <f t="shared" ref="W66:W68" si="14">+J66-L66+M66-V66</f>
        <v>0</v>
      </c>
      <c r="X66" s="23"/>
    </row>
    <row r="67" spans="1:24" ht="15.75" x14ac:dyDescent="0.25">
      <c r="A67" s="14"/>
      <c r="B67" s="14"/>
      <c r="C67" s="14"/>
      <c r="D67" s="24">
        <v>34</v>
      </c>
      <c r="E67" s="25" t="s">
        <v>114</v>
      </c>
      <c r="F67" s="26" t="s">
        <v>115</v>
      </c>
      <c r="G67" s="26">
        <v>0</v>
      </c>
      <c r="H67" s="26">
        <v>2550000</v>
      </c>
      <c r="I67" s="26">
        <v>1000000</v>
      </c>
      <c r="J67" s="27">
        <v>3550000</v>
      </c>
      <c r="K67" s="28" t="e">
        <f>+#REF!-#REF!</f>
        <v>#REF!</v>
      </c>
      <c r="L67" s="88">
        <v>1472619</v>
      </c>
      <c r="M67" s="88">
        <v>665000</v>
      </c>
      <c r="N67" s="30"/>
      <c r="O67" s="30"/>
      <c r="P67" s="30">
        <v>1467946.22</v>
      </c>
      <c r="Q67" s="30">
        <v>191790</v>
      </c>
      <c r="R67" s="30">
        <v>236349.12</v>
      </c>
      <c r="S67" s="30">
        <f>121634.24-85800</f>
        <v>35834.240000000005</v>
      </c>
      <c r="T67" s="30"/>
      <c r="U67" s="30">
        <v>91970.69</v>
      </c>
      <c r="V67" s="31">
        <f>SUM(N67:Q67)+R67+S67+U67</f>
        <v>2023890.2699999998</v>
      </c>
      <c r="W67" s="22">
        <f t="shared" si="14"/>
        <v>718490.73000000021</v>
      </c>
      <c r="X67" s="23"/>
    </row>
    <row r="68" spans="1:24" ht="16.5" thickBot="1" x14ac:dyDescent="0.3">
      <c r="A68" s="14"/>
      <c r="B68" s="14"/>
      <c r="C68" s="14"/>
      <c r="D68" s="33">
        <v>35</v>
      </c>
      <c r="E68" s="34" t="s">
        <v>116</v>
      </c>
      <c r="F68" s="35" t="s">
        <v>117</v>
      </c>
      <c r="G68" s="35"/>
      <c r="H68" s="35"/>
      <c r="I68" s="35"/>
      <c r="J68" s="36"/>
      <c r="K68" s="37"/>
      <c r="L68" s="89"/>
      <c r="M68" s="89">
        <v>317300</v>
      </c>
      <c r="N68" s="39"/>
      <c r="O68" s="39"/>
      <c r="P68" s="39"/>
      <c r="Q68" s="39"/>
      <c r="R68" s="39"/>
      <c r="S68" s="39">
        <v>90372.66</v>
      </c>
      <c r="T68" s="39">
        <v>2950</v>
      </c>
      <c r="U68" s="39">
        <v>45211.7</v>
      </c>
      <c r="V68" s="40">
        <f>+S68+T68+U68</f>
        <v>138534.35999999999</v>
      </c>
      <c r="W68" s="22">
        <f t="shared" si="14"/>
        <v>178765.64</v>
      </c>
    </row>
    <row r="69" spans="1:24" ht="16.5" thickBot="1" x14ac:dyDescent="0.3">
      <c r="A69" s="14"/>
      <c r="B69" s="14"/>
      <c r="C69" s="14"/>
      <c r="D69" s="41"/>
      <c r="E69" s="42"/>
      <c r="F69" s="43" t="s">
        <v>37</v>
      </c>
      <c r="G69" s="43"/>
      <c r="H69" s="43"/>
      <c r="I69" s="43"/>
      <c r="J69" s="44">
        <f>SUM(J65:J67)</f>
        <v>9430960</v>
      </c>
      <c r="K69" s="45" t="e">
        <f>SUM(K65:K67)</f>
        <v>#REF!</v>
      </c>
      <c r="L69" s="90">
        <f>SUM(L65:L68)</f>
        <v>1772619</v>
      </c>
      <c r="M69" s="90">
        <f>SUM(M67:M68)+M66</f>
        <v>995280</v>
      </c>
      <c r="N69" s="47">
        <f t="shared" ref="N69:Q69" si="15">SUM(N65:N67)</f>
        <v>383317.59</v>
      </c>
      <c r="O69" s="47">
        <f t="shared" si="15"/>
        <v>383317.59</v>
      </c>
      <c r="P69" s="47">
        <f t="shared" si="15"/>
        <v>1727228.63</v>
      </c>
      <c r="Q69" s="47">
        <f t="shared" si="15"/>
        <v>463770</v>
      </c>
      <c r="R69" s="47">
        <f t="shared" ref="R69:W69" si="16">SUM(R65:R68)</f>
        <v>547809.12</v>
      </c>
      <c r="S69" s="47">
        <f t="shared" si="16"/>
        <v>437666.9</v>
      </c>
      <c r="T69" s="47">
        <f t="shared" si="16"/>
        <v>400917.95</v>
      </c>
      <c r="U69" s="47">
        <f>SUM(U65:U68)</f>
        <v>612102.3899999999</v>
      </c>
      <c r="V69" s="48">
        <f t="shared" si="16"/>
        <v>4956130.17</v>
      </c>
      <c r="W69" s="49">
        <f t="shared" si="16"/>
        <v>3697490.8300000005</v>
      </c>
    </row>
    <row r="70" spans="1:24" ht="16.5" thickBot="1" x14ac:dyDescent="0.3">
      <c r="A70" s="14"/>
      <c r="B70" s="14"/>
      <c r="C70" s="14"/>
      <c r="D70" s="50"/>
      <c r="E70" s="51"/>
      <c r="F70" s="52"/>
      <c r="G70" s="52"/>
      <c r="H70" s="52"/>
      <c r="I70" s="52"/>
      <c r="J70" s="53"/>
      <c r="K70" s="54"/>
      <c r="L70" s="91"/>
      <c r="M70" s="91"/>
      <c r="N70" s="56"/>
      <c r="O70" s="56"/>
      <c r="P70" s="56"/>
      <c r="Q70" s="56"/>
      <c r="R70" s="56"/>
      <c r="S70" s="56"/>
      <c r="T70" s="56"/>
      <c r="U70" s="56"/>
      <c r="V70" s="57"/>
      <c r="W70" s="58"/>
    </row>
    <row r="71" spans="1:24" ht="16.5" thickBot="1" x14ac:dyDescent="0.3">
      <c r="A71" s="14"/>
      <c r="B71" s="14"/>
      <c r="C71" s="14"/>
      <c r="D71" s="41"/>
      <c r="E71" s="42" t="s">
        <v>118</v>
      </c>
      <c r="F71" s="43" t="s">
        <v>119</v>
      </c>
      <c r="G71" s="43"/>
      <c r="H71" s="43"/>
      <c r="I71" s="43"/>
      <c r="J71" s="44"/>
      <c r="K71" s="45"/>
      <c r="L71" s="90"/>
      <c r="M71" s="90"/>
      <c r="N71" s="47"/>
      <c r="O71" s="47"/>
      <c r="P71" s="47"/>
      <c r="Q71" s="47"/>
      <c r="R71" s="47"/>
      <c r="S71" s="47"/>
      <c r="T71" s="47"/>
      <c r="U71" s="47"/>
      <c r="V71" s="48"/>
      <c r="W71" s="49"/>
    </row>
    <row r="72" spans="1:24" ht="15.75" x14ac:dyDescent="0.25">
      <c r="A72" s="14"/>
      <c r="B72" s="14"/>
      <c r="C72" s="14"/>
      <c r="D72" s="92">
        <v>36</v>
      </c>
      <c r="E72" s="93" t="s">
        <v>120</v>
      </c>
      <c r="F72" s="94" t="s">
        <v>121</v>
      </c>
      <c r="G72" s="94"/>
      <c r="H72" s="94"/>
      <c r="I72" s="94"/>
      <c r="J72" s="95"/>
      <c r="K72" s="96"/>
      <c r="L72" s="97"/>
      <c r="M72" s="87">
        <v>4500</v>
      </c>
      <c r="N72" s="98"/>
      <c r="O72" s="98"/>
      <c r="P72" s="98"/>
      <c r="Q72" s="98"/>
      <c r="R72" s="98"/>
      <c r="S72" s="98"/>
      <c r="T72" s="98"/>
      <c r="U72" s="98"/>
      <c r="V72" s="22">
        <f>+R72</f>
        <v>0</v>
      </c>
      <c r="W72" s="22">
        <f>+J72-L72+M72-V72</f>
        <v>4500</v>
      </c>
    </row>
    <row r="73" spans="1:24" ht="16.5" thickBot="1" x14ac:dyDescent="0.3">
      <c r="A73" s="99"/>
      <c r="B73" s="99"/>
      <c r="C73" s="100"/>
      <c r="D73" s="33">
        <v>37</v>
      </c>
      <c r="E73" s="34" t="s">
        <v>122</v>
      </c>
      <c r="F73" s="35" t="s">
        <v>123</v>
      </c>
      <c r="G73" s="35">
        <v>0</v>
      </c>
      <c r="H73" s="35">
        <v>275000</v>
      </c>
      <c r="I73" s="35">
        <v>100000</v>
      </c>
      <c r="J73" s="36">
        <v>375000</v>
      </c>
      <c r="K73" s="101" t="e">
        <f>+#REF!-#REF!</f>
        <v>#REF!</v>
      </c>
      <c r="L73" s="89">
        <v>150000</v>
      </c>
      <c r="M73" s="102"/>
      <c r="N73" s="39"/>
      <c r="O73" s="39"/>
      <c r="P73" s="39">
        <v>39971.440000000002</v>
      </c>
      <c r="Q73" s="39"/>
      <c r="R73" s="39"/>
      <c r="S73" s="39"/>
      <c r="T73" s="39">
        <v>98852.51</v>
      </c>
      <c r="U73" s="39"/>
      <c r="V73" s="40">
        <f>SUM(N73:P73)+T73</f>
        <v>138823.95000000001</v>
      </c>
      <c r="W73" s="22">
        <f>+J73-L73+M73-V73</f>
        <v>86176.049999999988</v>
      </c>
    </row>
    <row r="74" spans="1:24" ht="16.5" thickBot="1" x14ac:dyDescent="0.3">
      <c r="A74" s="99"/>
      <c r="B74" s="99"/>
      <c r="C74" s="100"/>
      <c r="D74" s="41"/>
      <c r="E74" s="42"/>
      <c r="F74" s="43" t="s">
        <v>37</v>
      </c>
      <c r="G74" s="43"/>
      <c r="H74" s="43"/>
      <c r="I74" s="43"/>
      <c r="J74" s="44">
        <v>375000</v>
      </c>
      <c r="K74" s="45"/>
      <c r="L74" s="90">
        <f>SUM(L73)</f>
        <v>150000</v>
      </c>
      <c r="M74" s="90">
        <f>SUM(M72:M73)</f>
        <v>4500</v>
      </c>
      <c r="N74" s="47"/>
      <c r="O74" s="47"/>
      <c r="P74" s="47">
        <f>SUM(P73)</f>
        <v>39971.440000000002</v>
      </c>
      <c r="Q74" s="47"/>
      <c r="R74" s="47">
        <f>SUM(R72:R73)</f>
        <v>0</v>
      </c>
      <c r="S74" s="47"/>
      <c r="T74" s="47">
        <f>SUM(T73)</f>
        <v>98852.51</v>
      </c>
      <c r="U74" s="47"/>
      <c r="V74" s="48">
        <f>SUM(V72:V73)</f>
        <v>138823.95000000001</v>
      </c>
      <c r="W74" s="49">
        <f>SUM(W72:W73)</f>
        <v>90676.049999999988</v>
      </c>
    </row>
    <row r="75" spans="1:24" ht="16.5" thickBot="1" x14ac:dyDescent="0.3">
      <c r="A75" s="99"/>
      <c r="B75" s="99"/>
      <c r="C75" s="100"/>
      <c r="D75" s="81"/>
      <c r="E75" s="82"/>
      <c r="F75" s="52"/>
      <c r="G75" s="83"/>
      <c r="H75" s="83"/>
      <c r="I75" s="83"/>
      <c r="J75" s="84"/>
      <c r="K75" s="54"/>
      <c r="L75" s="91"/>
      <c r="M75" s="91"/>
      <c r="N75" s="59"/>
      <c r="O75" s="59"/>
      <c r="P75" s="59"/>
      <c r="Q75" s="59"/>
      <c r="R75" s="59"/>
      <c r="S75" s="59"/>
      <c r="T75" s="59"/>
      <c r="U75" s="59"/>
      <c r="V75" s="74"/>
      <c r="W75" s="74"/>
    </row>
    <row r="76" spans="1:24" ht="16.5" thickBot="1" x14ac:dyDescent="0.3">
      <c r="A76" s="99"/>
      <c r="B76" s="99"/>
      <c r="C76" s="100"/>
      <c r="D76" s="41"/>
      <c r="E76" s="42" t="s">
        <v>124</v>
      </c>
      <c r="F76" s="43" t="s">
        <v>125</v>
      </c>
      <c r="G76" s="43"/>
      <c r="H76" s="43"/>
      <c r="I76" s="43"/>
      <c r="J76" s="44"/>
      <c r="K76" s="45"/>
      <c r="L76" s="90"/>
      <c r="M76" s="90"/>
      <c r="N76" s="47"/>
      <c r="O76" s="47"/>
      <c r="P76" s="47"/>
      <c r="Q76" s="47"/>
      <c r="R76" s="47"/>
      <c r="S76" s="47"/>
      <c r="T76" s="47"/>
      <c r="U76" s="47"/>
      <c r="V76" s="48"/>
      <c r="W76" s="49"/>
    </row>
    <row r="77" spans="1:24" ht="15.75" x14ac:dyDescent="0.25">
      <c r="A77" s="14"/>
      <c r="B77" s="14"/>
      <c r="C77" s="14"/>
      <c r="D77" s="15">
        <v>38</v>
      </c>
      <c r="E77" s="16" t="s">
        <v>126</v>
      </c>
      <c r="F77" s="17" t="s">
        <v>127</v>
      </c>
      <c r="G77" s="17">
        <v>0</v>
      </c>
      <c r="H77" s="17">
        <v>175000</v>
      </c>
      <c r="I77" s="17">
        <v>890000</v>
      </c>
      <c r="J77" s="18">
        <v>421620</v>
      </c>
      <c r="K77" s="19" t="e">
        <f>+#REF!-#REF!</f>
        <v>#REF!</v>
      </c>
      <c r="L77" s="20">
        <v>150787</v>
      </c>
      <c r="M77" s="20"/>
      <c r="N77" s="21"/>
      <c r="O77" s="21"/>
      <c r="P77" s="21"/>
      <c r="Q77" s="21"/>
      <c r="R77" s="21"/>
      <c r="S77" s="21"/>
      <c r="T77" s="21"/>
      <c r="U77" s="21"/>
      <c r="V77" s="31">
        <f>+S77</f>
        <v>0</v>
      </c>
      <c r="W77" s="22">
        <f>+J77-L77+M77-V77</f>
        <v>270833</v>
      </c>
    </row>
    <row r="78" spans="1:24" ht="15.75" x14ac:dyDescent="0.25">
      <c r="A78" s="14"/>
      <c r="B78" s="14"/>
      <c r="C78" s="14"/>
      <c r="D78" s="24">
        <v>33</v>
      </c>
      <c r="E78" s="25" t="s">
        <v>128</v>
      </c>
      <c r="F78" s="26" t="s">
        <v>129</v>
      </c>
      <c r="G78" s="26">
        <v>0</v>
      </c>
      <c r="H78" s="26">
        <v>100000</v>
      </c>
      <c r="I78" s="26">
        <v>0</v>
      </c>
      <c r="J78" s="27">
        <v>50000</v>
      </c>
      <c r="K78" s="28" t="e">
        <f>+#REF!-#REF!</f>
        <v>#REF!</v>
      </c>
      <c r="L78" s="29">
        <v>79000</v>
      </c>
      <c r="M78" s="29">
        <v>107755</v>
      </c>
      <c r="N78" s="30"/>
      <c r="O78" s="30"/>
      <c r="P78" s="30">
        <v>13983</v>
      </c>
      <c r="Q78" s="30"/>
      <c r="R78" s="30">
        <v>64682.879999999997</v>
      </c>
      <c r="S78" s="30"/>
      <c r="T78" s="30"/>
      <c r="U78" s="30"/>
      <c r="V78" s="31">
        <f>SUM(N78:R78)</f>
        <v>78665.88</v>
      </c>
      <c r="W78" s="22">
        <f t="shared" ref="W78:W80" si="17">+J78-L78+M78-V78</f>
        <v>89.119999999995343</v>
      </c>
    </row>
    <row r="79" spans="1:24" ht="15.75" x14ac:dyDescent="0.25">
      <c r="A79" s="14"/>
      <c r="B79" s="14"/>
      <c r="C79" s="14"/>
      <c r="D79" s="24">
        <v>34</v>
      </c>
      <c r="E79" s="25" t="s">
        <v>130</v>
      </c>
      <c r="F79" s="26" t="s">
        <v>131</v>
      </c>
      <c r="G79" s="26">
        <v>0</v>
      </c>
      <c r="H79" s="26">
        <v>25000</v>
      </c>
      <c r="I79" s="26">
        <v>0</v>
      </c>
      <c r="J79" s="27">
        <v>25000</v>
      </c>
      <c r="K79" s="28" t="e">
        <f>+#REF!-#REF!</f>
        <v>#REF!</v>
      </c>
      <c r="L79" s="29"/>
      <c r="M79" s="29">
        <v>117000</v>
      </c>
      <c r="N79" s="30"/>
      <c r="O79" s="30"/>
      <c r="P79" s="30"/>
      <c r="Q79" s="30">
        <v>141853.70000000001</v>
      </c>
      <c r="R79" s="30"/>
      <c r="S79" s="30"/>
      <c r="T79" s="30"/>
      <c r="U79" s="30"/>
      <c r="V79" s="31">
        <f>SUM(N79:Q79)</f>
        <v>141853.70000000001</v>
      </c>
      <c r="W79" s="22">
        <f t="shared" si="17"/>
        <v>146.29999999998836</v>
      </c>
    </row>
    <row r="80" spans="1:24" ht="16.5" thickBot="1" x14ac:dyDescent="0.3">
      <c r="A80" s="14"/>
      <c r="B80" s="14"/>
      <c r="C80" s="14"/>
      <c r="D80" s="33">
        <v>35</v>
      </c>
      <c r="E80" s="34" t="s">
        <v>132</v>
      </c>
      <c r="F80" s="35" t="s">
        <v>133</v>
      </c>
      <c r="G80" s="35">
        <v>0</v>
      </c>
      <c r="H80" s="35">
        <v>175000</v>
      </c>
      <c r="I80" s="35">
        <v>0</v>
      </c>
      <c r="J80" s="36">
        <v>225000</v>
      </c>
      <c r="K80" s="37" t="e">
        <f>+#REF!-#REF!</f>
        <v>#REF!</v>
      </c>
      <c r="L80" s="38">
        <v>38000</v>
      </c>
      <c r="M80" s="38"/>
      <c r="N80" s="39"/>
      <c r="O80" s="39"/>
      <c r="P80" s="39">
        <v>96545.9</v>
      </c>
      <c r="Q80" s="39">
        <v>0</v>
      </c>
      <c r="R80" s="39"/>
      <c r="S80" s="39">
        <v>23198.799999999999</v>
      </c>
      <c r="T80" s="39"/>
      <c r="U80" s="39">
        <v>12148.24</v>
      </c>
      <c r="V80" s="40">
        <f>SUM(N80:Q80)+R80+S80+U80</f>
        <v>131892.94</v>
      </c>
      <c r="W80" s="22">
        <f t="shared" si="17"/>
        <v>55107.06</v>
      </c>
      <c r="X80" s="23"/>
    </row>
    <row r="81" spans="1:24" ht="16.5" thickBot="1" x14ac:dyDescent="0.3">
      <c r="A81" s="14"/>
      <c r="B81" s="14"/>
      <c r="C81" s="14"/>
      <c r="D81" s="41"/>
      <c r="E81" s="42"/>
      <c r="F81" s="43" t="s">
        <v>37</v>
      </c>
      <c r="G81" s="43"/>
      <c r="H81" s="43"/>
      <c r="I81" s="43"/>
      <c r="J81" s="44">
        <f>SUM(J77:J80)</f>
        <v>721620</v>
      </c>
      <c r="K81" s="45" t="e">
        <f>SUM(K77:K80)</f>
        <v>#REF!</v>
      </c>
      <c r="L81" s="46">
        <f>SUM(L77:L80)</f>
        <v>267787</v>
      </c>
      <c r="M81" s="46">
        <f>SUM(M77:M80)</f>
        <v>224755</v>
      </c>
      <c r="N81" s="47"/>
      <c r="O81" s="47"/>
      <c r="P81" s="47">
        <f>SUM(P78:P80)</f>
        <v>110528.9</v>
      </c>
      <c r="Q81" s="47">
        <f>SUM(Q79:Q80)</f>
        <v>141853.70000000001</v>
      </c>
      <c r="R81" s="47">
        <f>SUM(R77:R80)</f>
        <v>64682.879999999997</v>
      </c>
      <c r="S81" s="47">
        <f>SUM(S77:S80)</f>
        <v>23198.799999999999</v>
      </c>
      <c r="T81" s="47"/>
      <c r="U81" s="47">
        <f>SUM(U80)</f>
        <v>12148.24</v>
      </c>
      <c r="V81" s="48">
        <f>SUM(V77:V80)</f>
        <v>352412.52</v>
      </c>
      <c r="W81" s="49">
        <f>SUM(W76:W80)</f>
        <v>326175.48</v>
      </c>
    </row>
    <row r="82" spans="1:24" ht="16.5" thickBot="1" x14ac:dyDescent="0.3">
      <c r="A82" s="14"/>
      <c r="B82" s="14"/>
      <c r="C82" s="14"/>
      <c r="D82" s="50"/>
      <c r="E82" s="51"/>
      <c r="F82" s="52"/>
      <c r="G82" s="52"/>
      <c r="H82" s="52"/>
      <c r="I82" s="52"/>
      <c r="J82" s="53"/>
      <c r="K82" s="54"/>
      <c r="L82" s="55"/>
      <c r="M82" s="55"/>
      <c r="N82" s="56"/>
      <c r="O82" s="56"/>
      <c r="P82" s="56"/>
      <c r="Q82" s="56"/>
      <c r="R82" s="56"/>
      <c r="S82" s="56"/>
      <c r="T82" s="56"/>
      <c r="U82" s="56"/>
      <c r="V82" s="57"/>
      <c r="W82" s="58"/>
    </row>
    <row r="83" spans="1:24" ht="16.5" thickBot="1" x14ac:dyDescent="0.3">
      <c r="A83" s="14"/>
      <c r="B83" s="14"/>
      <c r="C83" s="14"/>
      <c r="D83" s="41"/>
      <c r="E83" s="42" t="s">
        <v>134</v>
      </c>
      <c r="F83" s="43" t="s">
        <v>135</v>
      </c>
      <c r="G83" s="43"/>
      <c r="H83" s="43"/>
      <c r="I83" s="43"/>
      <c r="J83" s="44"/>
      <c r="K83" s="45"/>
      <c r="L83" s="46"/>
      <c r="M83" s="46"/>
      <c r="N83" s="47"/>
      <c r="O83" s="47"/>
      <c r="P83" s="47"/>
      <c r="Q83" s="47"/>
      <c r="R83" s="47"/>
      <c r="S83" s="47"/>
      <c r="T83" s="47"/>
      <c r="U83" s="47"/>
      <c r="V83" s="48"/>
      <c r="W83" s="49"/>
    </row>
    <row r="84" spans="1:24" ht="15.75" x14ac:dyDescent="0.25">
      <c r="A84" s="14"/>
      <c r="B84" s="14"/>
      <c r="C84" s="14"/>
      <c r="D84" s="15">
        <v>36</v>
      </c>
      <c r="E84" s="16" t="s">
        <v>136</v>
      </c>
      <c r="F84" s="17" t="s">
        <v>137</v>
      </c>
      <c r="G84" s="17">
        <v>0</v>
      </c>
      <c r="H84" s="17">
        <v>10000</v>
      </c>
      <c r="I84" s="17">
        <v>0</v>
      </c>
      <c r="J84" s="18">
        <v>20000</v>
      </c>
      <c r="K84" s="19" t="e">
        <f>+#REF!-#REF!</f>
        <v>#REF!</v>
      </c>
      <c r="L84" s="20"/>
      <c r="M84" s="20"/>
      <c r="N84" s="21"/>
      <c r="O84" s="21"/>
      <c r="P84" s="21"/>
      <c r="Q84" s="21"/>
      <c r="R84" s="21"/>
      <c r="S84" s="21"/>
      <c r="T84" s="21"/>
      <c r="U84" s="21"/>
      <c r="V84" s="22">
        <f>+R84</f>
        <v>0</v>
      </c>
      <c r="W84" s="22">
        <f>+J84-L84+M84-V84</f>
        <v>20000</v>
      </c>
    </row>
    <row r="85" spans="1:24" ht="15.75" x14ac:dyDescent="0.25">
      <c r="A85" s="14"/>
      <c r="B85" s="14"/>
      <c r="C85" s="14"/>
      <c r="D85" s="24">
        <v>37</v>
      </c>
      <c r="E85" s="25" t="s">
        <v>138</v>
      </c>
      <c r="F85" s="26" t="s">
        <v>139</v>
      </c>
      <c r="G85" s="26">
        <v>0</v>
      </c>
      <c r="H85" s="26">
        <v>5600</v>
      </c>
      <c r="I85" s="26">
        <v>0</v>
      </c>
      <c r="J85" s="27">
        <v>5600</v>
      </c>
      <c r="K85" s="28" t="e">
        <f>+#REF!-#REF!</f>
        <v>#REF!</v>
      </c>
      <c r="L85" s="29"/>
      <c r="M85" s="29"/>
      <c r="N85" s="30"/>
      <c r="O85" s="30"/>
      <c r="P85" s="30"/>
      <c r="Q85" s="30"/>
      <c r="R85" s="30"/>
      <c r="S85" s="30"/>
      <c r="T85" s="30"/>
      <c r="U85" s="30"/>
      <c r="V85" s="31">
        <f t="shared" ref="V85:V159" si="18">N85+O85</f>
        <v>0</v>
      </c>
      <c r="W85" s="22">
        <f t="shared" ref="W85:W92" si="19">+J85-L85+M85-V85</f>
        <v>5600</v>
      </c>
    </row>
    <row r="86" spans="1:24" ht="15.75" x14ac:dyDescent="0.25">
      <c r="A86" s="14"/>
      <c r="B86" s="14"/>
      <c r="C86" s="14"/>
      <c r="D86" s="24">
        <v>38</v>
      </c>
      <c r="E86" s="25" t="s">
        <v>140</v>
      </c>
      <c r="F86" s="26" t="s">
        <v>141</v>
      </c>
      <c r="G86" s="26"/>
      <c r="H86" s="26"/>
      <c r="I86" s="26"/>
      <c r="J86" s="27"/>
      <c r="K86" s="28"/>
      <c r="L86" s="29">
        <v>12980</v>
      </c>
      <c r="M86" s="29">
        <v>66080</v>
      </c>
      <c r="N86" s="30"/>
      <c r="O86" s="30"/>
      <c r="P86" s="30"/>
      <c r="Q86" s="30"/>
      <c r="R86" s="30"/>
      <c r="S86" s="30"/>
      <c r="T86" s="30"/>
      <c r="U86" s="30"/>
      <c r="V86" s="31"/>
      <c r="W86" s="22">
        <f t="shared" si="19"/>
        <v>53100</v>
      </c>
    </row>
    <row r="87" spans="1:24" ht="15.75" x14ac:dyDescent="0.25">
      <c r="A87" s="14"/>
      <c r="B87" s="14"/>
      <c r="C87" s="14"/>
      <c r="D87" s="24">
        <v>39</v>
      </c>
      <c r="E87" s="25" t="s">
        <v>142</v>
      </c>
      <c r="F87" s="26" t="s">
        <v>143</v>
      </c>
      <c r="G87" s="26">
        <v>0</v>
      </c>
      <c r="H87" s="26">
        <v>25000</v>
      </c>
      <c r="I87" s="26">
        <v>0</v>
      </c>
      <c r="J87" s="27">
        <v>110000</v>
      </c>
      <c r="K87" s="28" t="e">
        <f>+#REF!-#REF!</f>
        <v>#REF!</v>
      </c>
      <c r="L87" s="29"/>
      <c r="M87" s="29"/>
      <c r="N87" s="30"/>
      <c r="O87" s="30"/>
      <c r="P87" s="30"/>
      <c r="Q87" s="30">
        <v>66080</v>
      </c>
      <c r="R87" s="30"/>
      <c r="S87" s="30"/>
      <c r="T87" s="30"/>
      <c r="U87" s="30"/>
      <c r="V87" s="31">
        <f>SUM(Q87:S87)</f>
        <v>66080</v>
      </c>
      <c r="W87" s="22">
        <f t="shared" si="19"/>
        <v>43920</v>
      </c>
    </row>
    <row r="88" spans="1:24" ht="15.75" x14ac:dyDescent="0.25">
      <c r="A88" s="14"/>
      <c r="B88" s="14"/>
      <c r="C88" s="14"/>
      <c r="D88" s="24">
        <v>40</v>
      </c>
      <c r="E88" s="25" t="s">
        <v>144</v>
      </c>
      <c r="F88" s="26" t="s">
        <v>145</v>
      </c>
      <c r="G88" s="26">
        <v>0</v>
      </c>
      <c r="H88" s="26">
        <v>275000</v>
      </c>
      <c r="I88" s="26">
        <v>0</v>
      </c>
      <c r="J88" s="27">
        <v>300000</v>
      </c>
      <c r="K88" s="28" t="e">
        <f>+#REF!-#REF!</f>
        <v>#REF!</v>
      </c>
      <c r="L88" s="29"/>
      <c r="M88" s="29"/>
      <c r="N88" s="30"/>
      <c r="O88" s="30"/>
      <c r="P88" s="30"/>
      <c r="Q88" s="30"/>
      <c r="R88" s="30"/>
      <c r="S88" s="30"/>
      <c r="T88" s="30"/>
      <c r="U88" s="30"/>
      <c r="V88" s="31">
        <f t="shared" si="18"/>
        <v>0</v>
      </c>
      <c r="W88" s="22">
        <f t="shared" si="19"/>
        <v>300000</v>
      </c>
    </row>
    <row r="89" spans="1:24" ht="15.75" x14ac:dyDescent="0.25">
      <c r="A89" s="14"/>
      <c r="B89" s="14"/>
      <c r="C89" s="14"/>
      <c r="D89" s="24">
        <v>41</v>
      </c>
      <c r="E89" s="25" t="s">
        <v>146</v>
      </c>
      <c r="F89" s="26" t="s">
        <v>147</v>
      </c>
      <c r="G89" s="26"/>
      <c r="H89" s="26"/>
      <c r="I89" s="26"/>
      <c r="J89" s="27"/>
      <c r="K89" s="28"/>
      <c r="L89" s="29">
        <v>300000</v>
      </c>
      <c r="M89" s="29">
        <v>500000</v>
      </c>
      <c r="N89" s="30"/>
      <c r="O89" s="30"/>
      <c r="P89" s="30"/>
      <c r="Q89" s="30"/>
      <c r="R89" s="30"/>
      <c r="S89" s="30">
        <v>39530</v>
      </c>
      <c r="T89" s="30"/>
      <c r="U89" s="30"/>
      <c r="V89" s="31">
        <f>+S89</f>
        <v>39530</v>
      </c>
      <c r="W89" s="22">
        <f t="shared" si="19"/>
        <v>160470</v>
      </c>
    </row>
    <row r="90" spans="1:24" ht="15.75" x14ac:dyDescent="0.25">
      <c r="A90" s="14"/>
      <c r="B90" s="14"/>
      <c r="C90" s="14"/>
      <c r="D90" s="24">
        <v>42</v>
      </c>
      <c r="E90" s="25" t="s">
        <v>148</v>
      </c>
      <c r="F90" s="26" t="s">
        <v>149</v>
      </c>
      <c r="G90" s="26">
        <v>0</v>
      </c>
      <c r="H90" s="26">
        <v>200000</v>
      </c>
      <c r="I90" s="26">
        <v>6000000</v>
      </c>
      <c r="J90" s="27">
        <v>3222742</v>
      </c>
      <c r="K90" s="28" t="e">
        <f>+#REF!-#REF!</f>
        <v>#REF!</v>
      </c>
      <c r="L90" s="29">
        <f>1600000+330000+627140+665000</f>
        <v>3222140</v>
      </c>
      <c r="M90" s="29"/>
      <c r="N90" s="30"/>
      <c r="O90" s="30"/>
      <c r="P90" s="30"/>
      <c r="Q90" s="30"/>
      <c r="R90" s="30"/>
      <c r="S90" s="30"/>
      <c r="T90" s="30"/>
      <c r="U90" s="30"/>
      <c r="V90" s="31">
        <f t="shared" si="18"/>
        <v>0</v>
      </c>
      <c r="W90" s="22">
        <f t="shared" si="19"/>
        <v>602</v>
      </c>
    </row>
    <row r="91" spans="1:24" ht="15.75" x14ac:dyDescent="0.25">
      <c r="A91" s="14"/>
      <c r="B91" s="14"/>
      <c r="C91" s="14"/>
      <c r="D91" s="24">
        <v>43</v>
      </c>
      <c r="E91" s="25" t="s">
        <v>150</v>
      </c>
      <c r="F91" s="26" t="s">
        <v>151</v>
      </c>
      <c r="G91" s="26">
        <v>0</v>
      </c>
      <c r="H91" s="26">
        <v>2500</v>
      </c>
      <c r="I91" s="26">
        <v>0</v>
      </c>
      <c r="J91" s="27">
        <v>2500</v>
      </c>
      <c r="K91" s="28" t="e">
        <f>+#REF!-#REF!</f>
        <v>#REF!</v>
      </c>
      <c r="L91" s="29"/>
      <c r="M91" s="29"/>
      <c r="N91" s="30"/>
      <c r="O91" s="30"/>
      <c r="P91" s="30"/>
      <c r="Q91" s="30"/>
      <c r="R91" s="30"/>
      <c r="S91" s="30"/>
      <c r="T91" s="30"/>
      <c r="U91" s="30"/>
      <c r="V91" s="31">
        <f>+R91</f>
        <v>0</v>
      </c>
      <c r="W91" s="22">
        <f t="shared" si="19"/>
        <v>2500</v>
      </c>
    </row>
    <row r="92" spans="1:24" ht="16.5" thickBot="1" x14ac:dyDescent="0.3">
      <c r="A92" s="14"/>
      <c r="B92" s="14"/>
      <c r="C92" s="14"/>
      <c r="D92" s="33">
        <v>44</v>
      </c>
      <c r="E92" s="34" t="s">
        <v>152</v>
      </c>
      <c r="F92" s="35" t="s">
        <v>153</v>
      </c>
      <c r="G92" s="35">
        <v>0</v>
      </c>
      <c r="H92" s="35">
        <v>2000</v>
      </c>
      <c r="I92" s="35">
        <v>0</v>
      </c>
      <c r="J92" s="36">
        <v>2000</v>
      </c>
      <c r="K92" s="37" t="e">
        <f>+#REF!-#REF!</f>
        <v>#REF!</v>
      </c>
      <c r="L92" s="38"/>
      <c r="M92" s="38"/>
      <c r="N92" s="39"/>
      <c r="O92" s="39"/>
      <c r="P92" s="39"/>
      <c r="Q92" s="39"/>
      <c r="R92" s="39"/>
      <c r="S92" s="39"/>
      <c r="T92" s="39"/>
      <c r="U92" s="39"/>
      <c r="V92" s="40">
        <f t="shared" si="18"/>
        <v>0</v>
      </c>
      <c r="W92" s="22">
        <f t="shared" si="19"/>
        <v>2000</v>
      </c>
    </row>
    <row r="93" spans="1:24" ht="16.5" thickBot="1" x14ac:dyDescent="0.3">
      <c r="A93" s="14"/>
      <c r="B93" s="14"/>
      <c r="C93" s="14"/>
      <c r="D93" s="41"/>
      <c r="E93" s="42"/>
      <c r="F93" s="43" t="s">
        <v>37</v>
      </c>
      <c r="G93" s="43"/>
      <c r="H93" s="43"/>
      <c r="I93" s="43"/>
      <c r="J93" s="44">
        <f>SUM(J84:J92)</f>
        <v>3662842</v>
      </c>
      <c r="K93" s="45" t="e">
        <f>SUM(K84:K92)</f>
        <v>#REF!</v>
      </c>
      <c r="L93" s="46">
        <f>SUM(L86:L92)</f>
        <v>3535120</v>
      </c>
      <c r="M93" s="46">
        <f>SUM(M86:M92)</f>
        <v>566080</v>
      </c>
      <c r="N93" s="47"/>
      <c r="O93" s="47"/>
      <c r="P93" s="47"/>
      <c r="Q93" s="47">
        <f>SUM(Q87:Q92)</f>
        <v>66080</v>
      </c>
      <c r="R93" s="47">
        <f>SUM(R84:R92)</f>
        <v>0</v>
      </c>
      <c r="S93" s="47">
        <f>SUM(S84:S92)</f>
        <v>39530</v>
      </c>
      <c r="T93" s="47"/>
      <c r="U93" s="47"/>
      <c r="V93" s="48">
        <f>SUM(V84:V92)</f>
        <v>105610</v>
      </c>
      <c r="W93" s="49">
        <f>SUM(W84:W92)</f>
        <v>588192</v>
      </c>
    </row>
    <row r="94" spans="1:24" ht="16.5" thickBot="1" x14ac:dyDescent="0.3">
      <c r="A94" s="14"/>
      <c r="B94" s="14"/>
      <c r="C94" s="14"/>
      <c r="D94" s="50"/>
      <c r="E94" s="51"/>
      <c r="F94" s="52"/>
      <c r="G94" s="52"/>
      <c r="H94" s="52"/>
      <c r="I94" s="52"/>
      <c r="J94" s="53"/>
      <c r="K94" s="54"/>
      <c r="L94" s="55"/>
      <c r="M94" s="55"/>
      <c r="N94" s="56"/>
      <c r="O94" s="56"/>
      <c r="P94" s="56"/>
      <c r="Q94" s="56"/>
      <c r="R94" s="56"/>
      <c r="S94" s="56"/>
      <c r="T94" s="56"/>
      <c r="U94" s="56"/>
      <c r="V94" s="57"/>
      <c r="W94" s="58"/>
    </row>
    <row r="95" spans="1:24" ht="16.5" thickBot="1" x14ac:dyDescent="0.3">
      <c r="A95" s="14"/>
      <c r="B95" s="14"/>
      <c r="C95" s="14"/>
      <c r="D95" s="41"/>
      <c r="E95" s="42" t="s">
        <v>154</v>
      </c>
      <c r="F95" s="43" t="s">
        <v>155</v>
      </c>
      <c r="G95" s="43"/>
      <c r="H95" s="43"/>
      <c r="I95" s="43"/>
      <c r="J95" s="44"/>
      <c r="K95" s="45"/>
      <c r="L95" s="46"/>
      <c r="M95" s="46"/>
      <c r="N95" s="47"/>
      <c r="O95" s="47"/>
      <c r="P95" s="47"/>
      <c r="Q95" s="47"/>
      <c r="R95" s="47"/>
      <c r="S95" s="47"/>
      <c r="T95" s="47"/>
      <c r="U95" s="47"/>
      <c r="V95" s="48"/>
      <c r="W95" s="49"/>
    </row>
    <row r="96" spans="1:24" ht="15.75" x14ac:dyDescent="0.25">
      <c r="A96" s="14"/>
      <c r="B96" s="14"/>
      <c r="C96" s="14"/>
      <c r="D96" s="15">
        <v>45</v>
      </c>
      <c r="E96" s="16" t="s">
        <v>156</v>
      </c>
      <c r="F96" s="17" t="s">
        <v>157</v>
      </c>
      <c r="G96" s="17">
        <v>14569200</v>
      </c>
      <c r="H96" s="17">
        <v>7000000</v>
      </c>
      <c r="I96" s="17">
        <v>3000000</v>
      </c>
      <c r="J96" s="18">
        <v>22834308</v>
      </c>
      <c r="K96" s="19" t="e">
        <f>+#REF!-#REF!</f>
        <v>#REF!</v>
      </c>
      <c r="L96" s="20">
        <f>1358807+1740000+1370325</f>
        <v>4469132</v>
      </c>
      <c r="M96" s="20">
        <v>1500000</v>
      </c>
      <c r="N96" s="21"/>
      <c r="O96" s="21">
        <v>1431108.1</v>
      </c>
      <c r="P96" s="21">
        <f>1223514.76-12477.65</f>
        <v>1211037.1100000001</v>
      </c>
      <c r="Q96" s="21">
        <f>439373.49-274987.68</f>
        <v>164385.81</v>
      </c>
      <c r="R96" s="21"/>
      <c r="S96" s="21">
        <f>1117279-253475.8</f>
        <v>863803.2</v>
      </c>
      <c r="T96" s="21">
        <v>74576</v>
      </c>
      <c r="U96" s="21">
        <v>369232.8</v>
      </c>
      <c r="V96" s="22">
        <f>SUM(O96:Q96)+R96+S96+T96+U96</f>
        <v>4114143.0199999996</v>
      </c>
      <c r="W96" s="22">
        <f t="shared" ref="W96:W97" si="20">+J96-L96+M96-V96</f>
        <v>15751032.98</v>
      </c>
      <c r="X96" s="23"/>
    </row>
    <row r="97" spans="1:24" ht="16.5" thickBot="1" x14ac:dyDescent="0.3">
      <c r="A97" s="14"/>
      <c r="B97" s="14"/>
      <c r="C97" s="14"/>
      <c r="D97" s="33">
        <v>46</v>
      </c>
      <c r="E97" s="34" t="s">
        <v>158</v>
      </c>
      <c r="F97" s="35" t="s">
        <v>159</v>
      </c>
      <c r="G97" s="35">
        <v>0</v>
      </c>
      <c r="H97" s="35">
        <v>60000</v>
      </c>
      <c r="I97" s="35">
        <v>0</v>
      </c>
      <c r="J97" s="36">
        <v>60000</v>
      </c>
      <c r="K97" s="37" t="e">
        <f>+#REF!-#REF!</f>
        <v>#REF!</v>
      </c>
      <c r="L97" s="38"/>
      <c r="M97" s="38"/>
      <c r="N97" s="39"/>
      <c r="O97" s="39"/>
      <c r="P97" s="39"/>
      <c r="Q97" s="39">
        <v>0</v>
      </c>
      <c r="R97" s="59"/>
      <c r="S97" s="59">
        <v>15458</v>
      </c>
      <c r="T97" s="59"/>
      <c r="U97" s="59">
        <v>1062</v>
      </c>
      <c r="V97" s="74">
        <f>+S97+U97</f>
        <v>16520</v>
      </c>
      <c r="W97" s="22">
        <f t="shared" si="20"/>
        <v>43480</v>
      </c>
    </row>
    <row r="98" spans="1:24" ht="16.5" thickBot="1" x14ac:dyDescent="0.3">
      <c r="A98" s="14"/>
      <c r="B98" s="14"/>
      <c r="C98" s="14"/>
      <c r="D98" s="41"/>
      <c r="E98" s="42"/>
      <c r="F98" s="43" t="s">
        <v>37</v>
      </c>
      <c r="G98" s="43"/>
      <c r="H98" s="43"/>
      <c r="I98" s="43"/>
      <c r="J98" s="44">
        <f>SUM(J96:J97)</f>
        <v>22894308</v>
      </c>
      <c r="K98" s="45" t="e">
        <f>SUM(K96:K97)</f>
        <v>#REF!</v>
      </c>
      <c r="L98" s="46">
        <f>SUM(L96:L97)</f>
        <v>4469132</v>
      </c>
      <c r="M98" s="46">
        <f>SUM(M96:M97)</f>
        <v>1500000</v>
      </c>
      <c r="N98" s="47"/>
      <c r="O98" s="47">
        <f t="shared" ref="O98:W98" si="21">SUM(O96:O97)</f>
        <v>1431108.1</v>
      </c>
      <c r="P98" s="47">
        <f t="shared" si="21"/>
        <v>1211037.1100000001</v>
      </c>
      <c r="Q98" s="47">
        <f t="shared" si="21"/>
        <v>164385.81</v>
      </c>
      <c r="R98" s="47">
        <f t="shared" si="21"/>
        <v>0</v>
      </c>
      <c r="S98" s="47">
        <f>SUM(S96:S97)</f>
        <v>879261.2</v>
      </c>
      <c r="T98" s="47">
        <f>SUM(T96:T97)</f>
        <v>74576</v>
      </c>
      <c r="U98" s="47">
        <f>SUM(U96:U97)</f>
        <v>370294.8</v>
      </c>
      <c r="V98" s="48">
        <f t="shared" si="21"/>
        <v>4130663.0199999996</v>
      </c>
      <c r="W98" s="49">
        <f t="shared" si="21"/>
        <v>15794512.98</v>
      </c>
    </row>
    <row r="99" spans="1:24" ht="16.5" thickBot="1" x14ac:dyDescent="0.3">
      <c r="A99" s="14"/>
      <c r="B99" s="14"/>
      <c r="C99" s="14"/>
      <c r="D99" s="50"/>
      <c r="E99" s="51"/>
      <c r="F99" s="52"/>
      <c r="G99" s="52"/>
      <c r="H99" s="52"/>
      <c r="I99" s="52"/>
      <c r="J99" s="53"/>
      <c r="K99" s="54"/>
      <c r="L99" s="55"/>
      <c r="M99" s="55"/>
      <c r="N99" s="56"/>
      <c r="O99" s="56"/>
      <c r="P99" s="56"/>
      <c r="Q99" s="56"/>
      <c r="R99" s="56"/>
      <c r="S99" s="56"/>
      <c r="T99" s="56"/>
      <c r="U99" s="56"/>
      <c r="V99" s="57"/>
      <c r="W99" s="58"/>
    </row>
    <row r="100" spans="1:24" ht="16.5" thickBot="1" x14ac:dyDescent="0.3">
      <c r="A100" s="14"/>
      <c r="B100" s="14"/>
      <c r="C100" s="14"/>
      <c r="D100" s="41"/>
      <c r="E100" s="42" t="s">
        <v>160</v>
      </c>
      <c r="F100" s="43" t="s">
        <v>161</v>
      </c>
      <c r="G100" s="43"/>
      <c r="H100" s="43"/>
      <c r="I100" s="43"/>
      <c r="J100" s="44"/>
      <c r="K100" s="45"/>
      <c r="L100" s="46"/>
      <c r="M100" s="46"/>
      <c r="N100" s="47"/>
      <c r="O100" s="47"/>
      <c r="P100" s="47"/>
      <c r="Q100" s="47"/>
      <c r="R100" s="47"/>
      <c r="S100" s="47"/>
      <c r="T100" s="47"/>
      <c r="U100" s="47"/>
      <c r="V100" s="48"/>
      <c r="W100" s="49"/>
    </row>
    <row r="101" spans="1:24" ht="15.75" x14ac:dyDescent="0.25">
      <c r="A101" s="14"/>
      <c r="B101" s="14"/>
      <c r="C101" s="14"/>
      <c r="D101" s="15">
        <v>47</v>
      </c>
      <c r="E101" s="16" t="s">
        <v>162</v>
      </c>
      <c r="F101" s="17" t="s">
        <v>163</v>
      </c>
      <c r="G101" s="17">
        <v>0</v>
      </c>
      <c r="H101" s="17">
        <v>100000</v>
      </c>
      <c r="I101" s="17">
        <v>0</v>
      </c>
      <c r="J101" s="18">
        <v>100000</v>
      </c>
      <c r="K101" s="19" t="e">
        <f>+#REF!-#REF!</f>
        <v>#REF!</v>
      </c>
      <c r="L101" s="20"/>
      <c r="M101" s="20">
        <v>736000</v>
      </c>
      <c r="N101" s="21"/>
      <c r="O101" s="21"/>
      <c r="P101" s="21"/>
      <c r="Q101" s="21"/>
      <c r="R101" s="21">
        <v>689002</v>
      </c>
      <c r="S101" s="21"/>
      <c r="T101" s="21"/>
      <c r="U101" s="21"/>
      <c r="V101" s="22">
        <f>+R101</f>
        <v>689002</v>
      </c>
      <c r="W101" s="22">
        <f t="shared" ref="W101:W103" si="22">+J101-L101+M101-V101</f>
        <v>146998</v>
      </c>
    </row>
    <row r="102" spans="1:24" ht="15.75" x14ac:dyDescent="0.25">
      <c r="A102" s="14"/>
      <c r="B102" s="14"/>
      <c r="C102" s="14"/>
      <c r="D102" s="81">
        <v>48</v>
      </c>
      <c r="E102" s="82" t="s">
        <v>164</v>
      </c>
      <c r="F102" s="83" t="s">
        <v>165</v>
      </c>
      <c r="G102" s="83"/>
      <c r="H102" s="83"/>
      <c r="I102" s="83"/>
      <c r="J102" s="84"/>
      <c r="K102" s="85"/>
      <c r="L102" s="86">
        <v>300000</v>
      </c>
      <c r="M102" s="86">
        <f>310000</f>
        <v>310000</v>
      </c>
      <c r="N102" s="59"/>
      <c r="O102" s="59"/>
      <c r="P102" s="59"/>
      <c r="Q102" s="59"/>
      <c r="R102" s="59"/>
      <c r="S102" s="59"/>
      <c r="T102" s="59"/>
      <c r="U102" s="59"/>
      <c r="V102" s="74"/>
      <c r="W102" s="22">
        <f t="shared" si="22"/>
        <v>10000</v>
      </c>
    </row>
    <row r="103" spans="1:24" ht="16.5" thickBot="1" x14ac:dyDescent="0.3">
      <c r="A103" s="14"/>
      <c r="B103" s="14"/>
      <c r="C103" s="14"/>
      <c r="D103" s="33">
        <v>49</v>
      </c>
      <c r="E103" s="34" t="s">
        <v>166</v>
      </c>
      <c r="F103" s="35" t="s">
        <v>167</v>
      </c>
      <c r="G103" s="35">
        <v>0</v>
      </c>
      <c r="H103" s="35">
        <v>75000</v>
      </c>
      <c r="I103" s="35">
        <v>0</v>
      </c>
      <c r="J103" s="36">
        <v>1012302</v>
      </c>
      <c r="K103" s="37" t="e">
        <f>+#REF!-#REF!</f>
        <v>#REF!</v>
      </c>
      <c r="L103" s="38">
        <v>300000</v>
      </c>
      <c r="M103" s="38"/>
      <c r="N103" s="39"/>
      <c r="O103" s="39"/>
      <c r="P103" s="39"/>
      <c r="Q103" s="39">
        <v>432000</v>
      </c>
      <c r="R103" s="39"/>
      <c r="S103" s="39">
        <v>277958.8</v>
      </c>
      <c r="T103" s="39"/>
      <c r="U103" s="39"/>
      <c r="V103" s="40">
        <f>SUM(N103:Q103)+S103</f>
        <v>709958.8</v>
      </c>
      <c r="W103" s="22">
        <f t="shared" si="22"/>
        <v>2343.1999999999534</v>
      </c>
      <c r="X103" s="23"/>
    </row>
    <row r="104" spans="1:24" ht="16.5" thickBot="1" x14ac:dyDescent="0.3">
      <c r="A104" s="14"/>
      <c r="B104" s="14"/>
      <c r="C104" s="14"/>
      <c r="D104" s="41"/>
      <c r="E104" s="42"/>
      <c r="F104" s="43" t="s">
        <v>37</v>
      </c>
      <c r="G104" s="43"/>
      <c r="H104" s="43"/>
      <c r="I104" s="43"/>
      <c r="J104" s="44">
        <f>SUM(J101:J103)</f>
        <v>1112302</v>
      </c>
      <c r="K104" s="45" t="e">
        <f>SUM(K101:K103)</f>
        <v>#REF!</v>
      </c>
      <c r="L104" s="46">
        <f>SUM(L101:L103)</f>
        <v>600000</v>
      </c>
      <c r="M104" s="46">
        <f>SUM(M101:M103)</f>
        <v>1046000</v>
      </c>
      <c r="N104" s="47"/>
      <c r="O104" s="47"/>
      <c r="P104" s="47"/>
      <c r="Q104" s="47">
        <f>SUM(Q103)</f>
        <v>432000</v>
      </c>
      <c r="R104" s="47">
        <f>SUM(R101:R103)</f>
        <v>689002</v>
      </c>
      <c r="S104" s="47">
        <f>SUM(S103)</f>
        <v>277958.8</v>
      </c>
      <c r="T104" s="47"/>
      <c r="U104" s="47"/>
      <c r="V104" s="48">
        <f>SUM(V101:V103)</f>
        <v>1398960.8</v>
      </c>
      <c r="W104" s="49">
        <f>SUM(W101:W103)</f>
        <v>159341.19999999995</v>
      </c>
    </row>
    <row r="105" spans="1:24" ht="16.5" thickBot="1" x14ac:dyDescent="0.3">
      <c r="A105" s="14"/>
      <c r="B105" s="14"/>
      <c r="C105" s="14"/>
      <c r="D105" s="50"/>
      <c r="E105" s="51"/>
      <c r="F105" s="52"/>
      <c r="G105" s="52"/>
      <c r="H105" s="52"/>
      <c r="I105" s="52"/>
      <c r="J105" s="53"/>
      <c r="K105" s="54"/>
      <c r="L105" s="55"/>
      <c r="M105" s="55"/>
      <c r="N105" s="56"/>
      <c r="O105" s="56"/>
      <c r="P105" s="56"/>
      <c r="Q105" s="56"/>
      <c r="R105" s="56"/>
      <c r="S105" s="56"/>
      <c r="T105" s="56"/>
      <c r="U105" s="56"/>
      <c r="V105" s="57"/>
      <c r="W105" s="58"/>
    </row>
    <row r="106" spans="1:24" ht="16.5" thickBot="1" x14ac:dyDescent="0.3">
      <c r="A106" s="14"/>
      <c r="B106" s="14"/>
      <c r="C106" s="14"/>
      <c r="D106" s="41"/>
      <c r="E106" s="42" t="s">
        <v>168</v>
      </c>
      <c r="F106" s="43" t="s">
        <v>169</v>
      </c>
      <c r="G106" s="43"/>
      <c r="H106" s="43"/>
      <c r="I106" s="43"/>
      <c r="J106" s="44"/>
      <c r="K106" s="45"/>
      <c r="L106" s="46"/>
      <c r="M106" s="46"/>
      <c r="N106" s="47"/>
      <c r="O106" s="47"/>
      <c r="P106" s="47"/>
      <c r="Q106" s="47"/>
      <c r="R106" s="47"/>
      <c r="S106" s="47"/>
      <c r="T106" s="47"/>
      <c r="U106" s="47"/>
      <c r="V106" s="48"/>
      <c r="W106" s="49"/>
    </row>
    <row r="107" spans="1:24" ht="15.75" x14ac:dyDescent="0.25">
      <c r="A107" s="14"/>
      <c r="B107" s="14"/>
      <c r="C107" s="14"/>
      <c r="D107" s="92">
        <v>50</v>
      </c>
      <c r="E107" s="93" t="s">
        <v>170</v>
      </c>
      <c r="F107" s="94" t="s">
        <v>171</v>
      </c>
      <c r="G107" s="94"/>
      <c r="H107" s="94"/>
      <c r="I107" s="94"/>
      <c r="J107" s="95"/>
      <c r="K107" s="96"/>
      <c r="L107" s="103"/>
      <c r="M107" s="103">
        <f>74340+290700</f>
        <v>365040</v>
      </c>
      <c r="N107" s="98"/>
      <c r="O107" s="98"/>
      <c r="P107" s="98"/>
      <c r="Q107" s="98"/>
      <c r="R107" s="98">
        <v>74340</v>
      </c>
      <c r="S107" s="98"/>
      <c r="T107" s="98"/>
      <c r="U107" s="98"/>
      <c r="V107" s="104">
        <f>+R107</f>
        <v>74340</v>
      </c>
      <c r="W107" s="22">
        <f t="shared" ref="W107:W108" si="23">+J107-L107+M107-V107</f>
        <v>290700</v>
      </c>
    </row>
    <row r="108" spans="1:24" ht="16.5" thickBot="1" x14ac:dyDescent="0.3">
      <c r="A108" s="14"/>
      <c r="B108" s="14"/>
      <c r="C108" s="14"/>
      <c r="D108" s="33">
        <v>51</v>
      </c>
      <c r="E108" s="34" t="s">
        <v>172</v>
      </c>
      <c r="F108" s="35" t="s">
        <v>173</v>
      </c>
      <c r="G108" s="35">
        <v>0</v>
      </c>
      <c r="H108" s="35">
        <v>40000</v>
      </c>
      <c r="I108" s="35">
        <v>0</v>
      </c>
      <c r="J108" s="36">
        <v>40000</v>
      </c>
      <c r="K108" s="37" t="e">
        <f>+#REF!-#REF!</f>
        <v>#REF!</v>
      </c>
      <c r="L108" s="38"/>
      <c r="M108" s="38"/>
      <c r="N108" s="39"/>
      <c r="O108" s="39"/>
      <c r="P108" s="39"/>
      <c r="Q108" s="39"/>
      <c r="R108" s="39"/>
      <c r="S108" s="39"/>
      <c r="T108" s="39"/>
      <c r="U108" s="39"/>
      <c r="V108" s="40">
        <f t="shared" si="18"/>
        <v>0</v>
      </c>
      <c r="W108" s="22">
        <f t="shared" si="23"/>
        <v>40000</v>
      </c>
    </row>
    <row r="109" spans="1:24" ht="16.5" thickBot="1" x14ac:dyDescent="0.3">
      <c r="A109" s="14"/>
      <c r="B109" s="14"/>
      <c r="C109" s="14"/>
      <c r="D109" s="41"/>
      <c r="E109" s="42"/>
      <c r="F109" s="43" t="s">
        <v>37</v>
      </c>
      <c r="G109" s="43"/>
      <c r="H109" s="43"/>
      <c r="I109" s="43"/>
      <c r="J109" s="44">
        <v>40000</v>
      </c>
      <c r="K109" s="45"/>
      <c r="L109" s="46"/>
      <c r="M109" s="46">
        <f>SUM(M107:M108)</f>
        <v>365040</v>
      </c>
      <c r="N109" s="47"/>
      <c r="O109" s="47"/>
      <c r="P109" s="47"/>
      <c r="Q109" s="47"/>
      <c r="R109" s="47">
        <f>SUM(R107:R108)</f>
        <v>74340</v>
      </c>
      <c r="S109" s="47"/>
      <c r="T109" s="47"/>
      <c r="U109" s="47"/>
      <c r="V109" s="48">
        <f>SUM(V107:V108)</f>
        <v>74340</v>
      </c>
      <c r="W109" s="49">
        <f>SUM(W107:W108)</f>
        <v>330700</v>
      </c>
    </row>
    <row r="110" spans="1:24" ht="16.5" thickBot="1" x14ac:dyDescent="0.3">
      <c r="A110" s="14"/>
      <c r="B110" s="14"/>
      <c r="C110" s="14"/>
      <c r="D110" s="50"/>
      <c r="E110" s="51"/>
      <c r="F110" s="52"/>
      <c r="G110" s="52"/>
      <c r="H110" s="52"/>
      <c r="I110" s="52"/>
      <c r="J110" s="53"/>
      <c r="K110" s="54"/>
      <c r="L110" s="55"/>
      <c r="M110" s="55"/>
      <c r="N110" s="56"/>
      <c r="O110" s="56"/>
      <c r="P110" s="56"/>
      <c r="Q110" s="56"/>
      <c r="R110" s="56"/>
      <c r="S110" s="56"/>
      <c r="T110" s="56"/>
      <c r="U110" s="56"/>
      <c r="V110" s="57"/>
      <c r="W110" s="58"/>
    </row>
    <row r="111" spans="1:24" ht="16.5" thickBot="1" x14ac:dyDescent="0.3">
      <c r="A111" s="14"/>
      <c r="B111" s="14"/>
      <c r="C111" s="14"/>
      <c r="D111" s="41"/>
      <c r="E111" s="42" t="s">
        <v>174</v>
      </c>
      <c r="F111" s="43" t="s">
        <v>175</v>
      </c>
      <c r="G111" s="43"/>
      <c r="H111" s="43"/>
      <c r="I111" s="43"/>
      <c r="J111" s="44"/>
      <c r="K111" s="45"/>
      <c r="L111" s="46"/>
      <c r="M111" s="46"/>
      <c r="N111" s="47"/>
      <c r="O111" s="47"/>
      <c r="P111" s="47"/>
      <c r="Q111" s="47"/>
      <c r="R111" s="47"/>
      <c r="S111" s="47"/>
      <c r="T111" s="47"/>
      <c r="U111" s="47"/>
      <c r="V111" s="48"/>
      <c r="W111" s="49"/>
    </row>
    <row r="112" spans="1:24" ht="16.5" thickBot="1" x14ac:dyDescent="0.3">
      <c r="A112" s="14"/>
      <c r="B112" s="14"/>
      <c r="C112" s="14"/>
      <c r="D112" s="81">
        <v>52</v>
      </c>
      <c r="E112" s="82" t="s">
        <v>176</v>
      </c>
      <c r="F112" s="83" t="s">
        <v>177</v>
      </c>
      <c r="G112" s="83">
        <v>0</v>
      </c>
      <c r="H112" s="83">
        <v>100000</v>
      </c>
      <c r="I112" s="83">
        <v>100000</v>
      </c>
      <c r="J112" s="84">
        <v>200000</v>
      </c>
      <c r="K112" s="54" t="e">
        <f>+#REF!-#REF!</f>
        <v>#REF!</v>
      </c>
      <c r="L112" s="86">
        <v>150000</v>
      </c>
      <c r="M112" s="55"/>
      <c r="N112" s="59"/>
      <c r="O112" s="59"/>
      <c r="P112" s="59">
        <v>0</v>
      </c>
      <c r="Q112" s="59">
        <v>0</v>
      </c>
      <c r="R112" s="59"/>
      <c r="S112" s="59"/>
      <c r="T112" s="59"/>
      <c r="U112" s="59"/>
      <c r="V112" s="74">
        <f>+R112</f>
        <v>0</v>
      </c>
      <c r="W112" s="22">
        <f t="shared" ref="W112" si="24">+J112-L112+M112-V112</f>
        <v>50000</v>
      </c>
    </row>
    <row r="113" spans="1:24" ht="16.5" thickBot="1" x14ac:dyDescent="0.3">
      <c r="A113" s="14"/>
      <c r="B113" s="14"/>
      <c r="C113" s="14"/>
      <c r="D113" s="41"/>
      <c r="E113" s="42"/>
      <c r="F113" s="43" t="s">
        <v>37</v>
      </c>
      <c r="G113" s="43"/>
      <c r="H113" s="43"/>
      <c r="I113" s="43"/>
      <c r="J113" s="105">
        <v>200000</v>
      </c>
      <c r="K113" s="45" t="e">
        <f>SUM(K108:K112)</f>
        <v>#REF!</v>
      </c>
      <c r="L113" s="46">
        <f>SUM(L112)</f>
        <v>150000</v>
      </c>
      <c r="M113" s="46"/>
      <c r="N113" s="47"/>
      <c r="O113" s="47"/>
      <c r="P113" s="47">
        <f>SUM(P112)</f>
        <v>0</v>
      </c>
      <c r="Q113" s="47"/>
      <c r="R113" s="47">
        <f>SUM(R112)</f>
        <v>0</v>
      </c>
      <c r="S113" s="47"/>
      <c r="T113" s="47"/>
      <c r="U113" s="47"/>
      <c r="V113" s="106">
        <f>+R113</f>
        <v>0</v>
      </c>
      <c r="W113" s="49">
        <f>+J113-L113</f>
        <v>50000</v>
      </c>
    </row>
    <row r="114" spans="1:24" ht="16.5" thickBot="1" x14ac:dyDescent="0.3">
      <c r="A114" s="14"/>
      <c r="B114" s="14"/>
      <c r="C114" s="14"/>
      <c r="D114" s="50"/>
      <c r="E114" s="51"/>
      <c r="F114" s="52"/>
      <c r="G114" s="52"/>
      <c r="H114" s="52"/>
      <c r="I114" s="52"/>
      <c r="J114" s="53"/>
      <c r="K114" s="54"/>
      <c r="L114" s="55"/>
      <c r="M114" s="55"/>
      <c r="N114" s="56"/>
      <c r="O114" s="56"/>
      <c r="P114" s="56"/>
      <c r="Q114" s="56"/>
      <c r="R114" s="56"/>
      <c r="S114" s="56"/>
      <c r="T114" s="56"/>
      <c r="U114" s="56"/>
      <c r="V114" s="57"/>
      <c r="W114" s="58"/>
    </row>
    <row r="115" spans="1:24" ht="16.5" thickBot="1" x14ac:dyDescent="0.3">
      <c r="A115" s="14"/>
      <c r="B115" s="14"/>
      <c r="C115" s="14"/>
      <c r="D115" s="41"/>
      <c r="E115" s="42" t="s">
        <v>178</v>
      </c>
      <c r="F115" s="43" t="s">
        <v>179</v>
      </c>
      <c r="G115" s="43"/>
      <c r="H115" s="43"/>
      <c r="I115" s="43"/>
      <c r="J115" s="44"/>
      <c r="K115" s="45"/>
      <c r="L115" s="46"/>
      <c r="M115" s="46"/>
      <c r="N115" s="47"/>
      <c r="O115" s="47"/>
      <c r="P115" s="47"/>
      <c r="Q115" s="47"/>
      <c r="R115" s="47"/>
      <c r="S115" s="47"/>
      <c r="T115" s="47"/>
      <c r="U115" s="47"/>
      <c r="V115" s="48"/>
      <c r="W115" s="49"/>
    </row>
    <row r="116" spans="1:24" ht="15.75" x14ac:dyDescent="0.25">
      <c r="A116" s="14"/>
      <c r="B116" s="14"/>
      <c r="C116" s="14"/>
      <c r="D116" s="15">
        <v>53</v>
      </c>
      <c r="E116" s="16" t="s">
        <v>180</v>
      </c>
      <c r="F116" s="17" t="s">
        <v>181</v>
      </c>
      <c r="G116" s="17">
        <v>0</v>
      </c>
      <c r="H116" s="17">
        <v>85000</v>
      </c>
      <c r="I116" s="17">
        <v>200000</v>
      </c>
      <c r="J116" s="18">
        <v>285000</v>
      </c>
      <c r="K116" s="19" t="e">
        <f>+#REF!-#REF!</f>
        <v>#REF!</v>
      </c>
      <c r="L116" s="20">
        <v>62000</v>
      </c>
      <c r="M116" s="20"/>
      <c r="N116" s="21"/>
      <c r="O116" s="21"/>
      <c r="P116" s="21">
        <v>35076.68</v>
      </c>
      <c r="Q116" s="59"/>
      <c r="R116" s="59"/>
      <c r="S116" s="59">
        <v>17464</v>
      </c>
      <c r="T116" s="59"/>
      <c r="U116" s="59"/>
      <c r="V116" s="74">
        <f>SUM(N116:P116)+S116</f>
        <v>52540.68</v>
      </c>
      <c r="W116" s="22">
        <f t="shared" ref="W116:W118" si="25">+J116-L116+M116-V116</f>
        <v>170459.32</v>
      </c>
      <c r="X116" s="23"/>
    </row>
    <row r="117" spans="1:24" ht="15.75" x14ac:dyDescent="0.25">
      <c r="A117" s="14"/>
      <c r="B117" s="14"/>
      <c r="C117" s="14"/>
      <c r="D117" s="81">
        <v>54</v>
      </c>
      <c r="E117" s="82" t="s">
        <v>182</v>
      </c>
      <c r="F117" s="83" t="s">
        <v>183</v>
      </c>
      <c r="G117" s="83"/>
      <c r="H117" s="83"/>
      <c r="I117" s="83"/>
      <c r="J117" s="84"/>
      <c r="K117" s="85"/>
      <c r="L117" s="86"/>
      <c r="M117" s="86">
        <v>2000</v>
      </c>
      <c r="N117" s="59"/>
      <c r="O117" s="59"/>
      <c r="P117" s="59"/>
      <c r="Q117" s="59"/>
      <c r="R117" s="59"/>
      <c r="S117" s="59"/>
      <c r="T117" s="59"/>
      <c r="U117" s="59"/>
      <c r="V117" s="40">
        <f>+R117</f>
        <v>0</v>
      </c>
      <c r="W117" s="22">
        <f t="shared" si="25"/>
        <v>2000</v>
      </c>
    </row>
    <row r="118" spans="1:24" ht="16.5" thickBot="1" x14ac:dyDescent="0.3">
      <c r="A118" s="14"/>
      <c r="B118" s="14"/>
      <c r="C118" s="14"/>
      <c r="D118" s="33">
        <v>55</v>
      </c>
      <c r="E118" s="34" t="s">
        <v>184</v>
      </c>
      <c r="F118" s="35" t="s">
        <v>185</v>
      </c>
      <c r="G118" s="35">
        <v>0</v>
      </c>
      <c r="H118" s="35">
        <v>50000</v>
      </c>
      <c r="I118" s="35">
        <v>0</v>
      </c>
      <c r="J118" s="36">
        <v>150000</v>
      </c>
      <c r="K118" s="37" t="e">
        <f>+#REF!-#REF!</f>
        <v>#REF!</v>
      </c>
      <c r="L118" s="38"/>
      <c r="M118" s="38">
        <f>202000+366000</f>
        <v>568000</v>
      </c>
      <c r="N118" s="39"/>
      <c r="O118" s="39"/>
      <c r="P118" s="39">
        <v>33020</v>
      </c>
      <c r="Q118" s="39">
        <v>276391.57</v>
      </c>
      <c r="R118" s="39">
        <v>30679.51</v>
      </c>
      <c r="S118" s="39"/>
      <c r="T118" s="39"/>
      <c r="U118" s="39">
        <v>472</v>
      </c>
      <c r="V118" s="40">
        <f>SUM(P118:Q118)+R118+U118</f>
        <v>340563.08</v>
      </c>
      <c r="W118" s="22">
        <f t="shared" si="25"/>
        <v>377436.92</v>
      </c>
    </row>
    <row r="119" spans="1:24" ht="16.5" thickBot="1" x14ac:dyDescent="0.3">
      <c r="A119" s="14"/>
      <c r="B119" s="14"/>
      <c r="C119" s="14"/>
      <c r="D119" s="72"/>
      <c r="E119" s="63"/>
      <c r="F119" s="64"/>
      <c r="G119" s="64"/>
      <c r="H119" s="64"/>
      <c r="I119" s="64"/>
      <c r="J119" s="65">
        <f>SUM(J116:J118)</f>
        <v>435000</v>
      </c>
      <c r="K119" s="66" t="e">
        <f>SUM(K116:K118)</f>
        <v>#REF!</v>
      </c>
      <c r="L119" s="67">
        <f>SUM(L116:L118)</f>
        <v>62000</v>
      </c>
      <c r="M119" s="67">
        <f>SUM(M117:M118)</f>
        <v>570000</v>
      </c>
      <c r="N119" s="69"/>
      <c r="O119" s="69"/>
      <c r="P119" s="69">
        <f>SUM(P116:P118)</f>
        <v>68096.679999999993</v>
      </c>
      <c r="Q119" s="69">
        <f>SUM(Q118)</f>
        <v>276391.57</v>
      </c>
      <c r="R119" s="69">
        <f>SUM(R117:R118)</f>
        <v>30679.51</v>
      </c>
      <c r="S119" s="69">
        <f>SUM(S116:S118)</f>
        <v>17464</v>
      </c>
      <c r="T119" s="69"/>
      <c r="U119" s="69">
        <f>SUM(U118)</f>
        <v>472</v>
      </c>
      <c r="V119" s="70">
        <f>SUM(V116:V118)</f>
        <v>393103.76</v>
      </c>
      <c r="W119" s="71">
        <f>SUM(W116:W118)</f>
        <v>549896.24</v>
      </c>
    </row>
    <row r="120" spans="1:24" ht="16.5" thickBot="1" x14ac:dyDescent="0.3">
      <c r="A120" s="14"/>
      <c r="B120" s="14"/>
      <c r="C120" s="14"/>
      <c r="D120" s="41"/>
      <c r="E120" s="42" t="s">
        <v>186</v>
      </c>
      <c r="F120" s="43" t="s">
        <v>187</v>
      </c>
      <c r="G120" s="43"/>
      <c r="H120" s="43"/>
      <c r="I120" s="43"/>
      <c r="J120" s="44"/>
      <c r="K120" s="45"/>
      <c r="L120" s="46"/>
      <c r="M120" s="46"/>
      <c r="N120" s="47"/>
      <c r="O120" s="47"/>
      <c r="P120" s="47"/>
      <c r="Q120" s="47"/>
      <c r="R120" s="47"/>
      <c r="S120" s="47"/>
      <c r="T120" s="47"/>
      <c r="U120" s="47"/>
      <c r="V120" s="48"/>
      <c r="W120" s="49"/>
    </row>
    <row r="121" spans="1:24" ht="15.75" x14ac:dyDescent="0.25">
      <c r="A121" s="14"/>
      <c r="B121" s="14"/>
      <c r="C121" s="14"/>
      <c r="D121" s="92">
        <v>56</v>
      </c>
      <c r="E121" s="93" t="s">
        <v>188</v>
      </c>
      <c r="F121" s="17" t="s">
        <v>189</v>
      </c>
      <c r="G121" s="94"/>
      <c r="H121" s="94"/>
      <c r="I121" s="94"/>
      <c r="J121" s="95"/>
      <c r="K121" s="96"/>
      <c r="L121" s="103"/>
      <c r="M121" s="20">
        <v>1000</v>
      </c>
      <c r="N121" s="98"/>
      <c r="O121" s="98"/>
      <c r="P121" s="98"/>
      <c r="Q121" s="98"/>
      <c r="R121" s="21"/>
      <c r="S121" s="21"/>
      <c r="T121" s="21"/>
      <c r="U121" s="21"/>
      <c r="V121" s="104">
        <f>+R121</f>
        <v>0</v>
      </c>
      <c r="W121" s="22">
        <f t="shared" ref="W121:W122" si="26">+J121-L121+M121-V121</f>
        <v>1000</v>
      </c>
    </row>
    <row r="122" spans="1:24" ht="16.5" thickBot="1" x14ac:dyDescent="0.3">
      <c r="A122" s="14"/>
      <c r="B122" s="14"/>
      <c r="C122" s="14"/>
      <c r="D122" s="107">
        <v>57</v>
      </c>
      <c r="E122" s="108" t="s">
        <v>190</v>
      </c>
      <c r="F122" s="35" t="s">
        <v>191</v>
      </c>
      <c r="G122" s="109"/>
      <c r="H122" s="109"/>
      <c r="I122" s="109"/>
      <c r="J122" s="110"/>
      <c r="K122" s="101"/>
      <c r="L122" s="111"/>
      <c r="M122" s="38">
        <v>19000</v>
      </c>
      <c r="N122" s="112"/>
      <c r="O122" s="112"/>
      <c r="P122" s="112"/>
      <c r="Q122" s="112"/>
      <c r="R122" s="39"/>
      <c r="S122" s="39"/>
      <c r="T122" s="39">
        <v>18231</v>
      </c>
      <c r="U122" s="39"/>
      <c r="V122" s="113">
        <f>+T122</f>
        <v>18231</v>
      </c>
      <c r="W122" s="22">
        <f t="shared" si="26"/>
        <v>769</v>
      </c>
    </row>
    <row r="123" spans="1:24" ht="16.5" thickBot="1" x14ac:dyDescent="0.3">
      <c r="A123" s="14"/>
      <c r="B123" s="14"/>
      <c r="C123" s="14"/>
      <c r="D123" s="72"/>
      <c r="E123" s="63"/>
      <c r="F123" s="64"/>
      <c r="G123" s="64"/>
      <c r="H123" s="64"/>
      <c r="I123" s="64"/>
      <c r="J123" s="65"/>
      <c r="K123" s="66"/>
      <c r="L123" s="67"/>
      <c r="M123" s="67">
        <f>SUM(M121:M122)</f>
        <v>20000</v>
      </c>
      <c r="N123" s="69"/>
      <c r="O123" s="69"/>
      <c r="P123" s="69" t="s">
        <v>0</v>
      </c>
      <c r="Q123" s="69"/>
      <c r="R123" s="69">
        <f>SUM(R121)</f>
        <v>0</v>
      </c>
      <c r="S123" s="69"/>
      <c r="T123" s="69">
        <f>SUM(T122)</f>
        <v>18231</v>
      </c>
      <c r="U123" s="69"/>
      <c r="V123" s="70">
        <f>SUM(V122)</f>
        <v>18231</v>
      </c>
      <c r="W123" s="71">
        <f>SUM(W121:W122)</f>
        <v>1769</v>
      </c>
    </row>
    <row r="124" spans="1:24" ht="16.5" thickBot="1" x14ac:dyDescent="0.3">
      <c r="A124" s="14"/>
      <c r="B124" s="14"/>
      <c r="C124" s="14"/>
      <c r="D124" s="41"/>
      <c r="E124" s="42" t="s">
        <v>192</v>
      </c>
      <c r="F124" s="43" t="s">
        <v>193</v>
      </c>
      <c r="G124" s="43"/>
      <c r="H124" s="43"/>
      <c r="I124" s="43"/>
      <c r="J124" s="44"/>
      <c r="K124" s="45"/>
      <c r="L124" s="46"/>
      <c r="M124" s="46"/>
      <c r="N124" s="47"/>
      <c r="O124" s="47"/>
      <c r="P124" s="47"/>
      <c r="Q124" s="47"/>
      <c r="R124" s="47"/>
      <c r="S124" s="47"/>
      <c r="T124" s="47"/>
      <c r="U124" s="47"/>
      <c r="V124" s="48"/>
      <c r="W124" s="49"/>
    </row>
    <row r="125" spans="1:24" ht="15.75" x14ac:dyDescent="0.25">
      <c r="A125" s="14"/>
      <c r="B125" s="14"/>
      <c r="C125" s="14"/>
      <c r="D125" s="15">
        <v>58</v>
      </c>
      <c r="E125" s="16" t="s">
        <v>194</v>
      </c>
      <c r="F125" s="17" t="s">
        <v>195</v>
      </c>
      <c r="G125" s="17">
        <v>0</v>
      </c>
      <c r="H125" s="17">
        <v>3386600</v>
      </c>
      <c r="I125" s="17">
        <v>500000</v>
      </c>
      <c r="J125" s="18">
        <v>3886600</v>
      </c>
      <c r="K125" s="19" t="e">
        <f>+#REF!-#REF!</f>
        <v>#REF!</v>
      </c>
      <c r="L125" s="20"/>
      <c r="M125" s="20"/>
      <c r="N125" s="21"/>
      <c r="O125" s="21">
        <v>398000</v>
      </c>
      <c r="P125" s="21">
        <v>796000</v>
      </c>
      <c r="Q125" s="21"/>
      <c r="R125" s="21">
        <f>403800-5800</f>
        <v>398000</v>
      </c>
      <c r="S125" s="21">
        <v>398000</v>
      </c>
      <c r="T125" s="21">
        <v>398000</v>
      </c>
      <c r="U125" s="21"/>
      <c r="V125" s="22">
        <f>SUM(N125:P125)+R125+S125+T125</f>
        <v>2388000</v>
      </c>
      <c r="W125" s="22">
        <f t="shared" ref="W125:W128" si="27">+J125-L125+M125-V125</f>
        <v>1498600</v>
      </c>
      <c r="X125" s="23"/>
    </row>
    <row r="126" spans="1:24" ht="15.75" x14ac:dyDescent="0.25">
      <c r="A126" s="14"/>
      <c r="B126" s="14"/>
      <c r="C126" s="14"/>
      <c r="D126" s="24">
        <v>59</v>
      </c>
      <c r="E126" s="25" t="s">
        <v>196</v>
      </c>
      <c r="F126" s="26" t="s">
        <v>197</v>
      </c>
      <c r="G126" s="26">
        <v>0</v>
      </c>
      <c r="H126" s="26">
        <v>700000</v>
      </c>
      <c r="I126" s="26">
        <v>200000</v>
      </c>
      <c r="J126" s="27">
        <v>900000</v>
      </c>
      <c r="K126" s="28" t="e">
        <f>+#REF!-#REF!</f>
        <v>#REF!</v>
      </c>
      <c r="L126" s="29"/>
      <c r="M126" s="29"/>
      <c r="N126" s="30"/>
      <c r="O126" s="30"/>
      <c r="P126" s="30"/>
      <c r="Q126" s="30">
        <v>398000</v>
      </c>
      <c r="R126" s="30"/>
      <c r="S126" s="30"/>
      <c r="T126" s="30"/>
      <c r="U126" s="30"/>
      <c r="V126" s="31">
        <f>SUM(O126:Q126)+R126</f>
        <v>398000</v>
      </c>
      <c r="W126" s="22">
        <f t="shared" si="27"/>
        <v>502000</v>
      </c>
    </row>
    <row r="127" spans="1:24" ht="15.75" x14ac:dyDescent="0.25">
      <c r="A127" s="14"/>
      <c r="B127" s="14"/>
      <c r="C127" s="14"/>
      <c r="D127" s="33">
        <v>60</v>
      </c>
      <c r="E127" s="34" t="s">
        <v>198</v>
      </c>
      <c r="F127" s="35" t="s">
        <v>199</v>
      </c>
      <c r="G127" s="35"/>
      <c r="H127" s="35"/>
      <c r="I127" s="35"/>
      <c r="J127" s="36"/>
      <c r="K127" s="37"/>
      <c r="L127" s="38"/>
      <c r="M127" s="38">
        <f>51976+134000</f>
        <v>185976</v>
      </c>
      <c r="N127" s="39"/>
      <c r="O127" s="39"/>
      <c r="P127" s="39"/>
      <c r="Q127" s="39"/>
      <c r="R127" s="39">
        <f>51176.01-200.01</f>
        <v>50976</v>
      </c>
      <c r="S127" s="39">
        <v>375535</v>
      </c>
      <c r="T127" s="39"/>
      <c r="U127" s="39"/>
      <c r="V127" s="40">
        <f>+R127+S127</f>
        <v>426511</v>
      </c>
      <c r="W127" s="22">
        <f t="shared" si="27"/>
        <v>-240535</v>
      </c>
      <c r="X127" s="23"/>
    </row>
    <row r="128" spans="1:24" ht="16.5" thickBot="1" x14ac:dyDescent="0.3">
      <c r="A128" s="14"/>
      <c r="B128" s="14"/>
      <c r="C128" s="14"/>
      <c r="D128" s="114">
        <v>61</v>
      </c>
      <c r="E128" s="82" t="s">
        <v>200</v>
      </c>
      <c r="F128" s="83" t="s">
        <v>201</v>
      </c>
      <c r="G128" s="83"/>
      <c r="H128" s="83"/>
      <c r="I128" s="83"/>
      <c r="J128" s="84"/>
      <c r="K128" s="85"/>
      <c r="L128" s="86"/>
      <c r="M128" s="86">
        <v>20000</v>
      </c>
      <c r="N128" s="59"/>
      <c r="O128" s="59"/>
      <c r="P128" s="59"/>
      <c r="Q128" s="59"/>
      <c r="R128" s="59"/>
      <c r="S128" s="59"/>
      <c r="T128" s="59"/>
      <c r="U128" s="59">
        <v>19812</v>
      </c>
      <c r="V128" s="74">
        <f>+U128</f>
        <v>19812</v>
      </c>
      <c r="W128" s="22">
        <f t="shared" si="27"/>
        <v>188</v>
      </c>
    </row>
    <row r="129" spans="1:24" ht="16.5" thickBot="1" x14ac:dyDescent="0.3">
      <c r="A129" s="14"/>
      <c r="B129" s="14"/>
      <c r="C129" s="14"/>
      <c r="D129" s="41"/>
      <c r="E129" s="42"/>
      <c r="F129" s="43" t="s">
        <v>37</v>
      </c>
      <c r="G129" s="43"/>
      <c r="H129" s="43"/>
      <c r="I129" s="43"/>
      <c r="J129" s="44">
        <f>SUM(J125:J126)</f>
        <v>4786600</v>
      </c>
      <c r="K129" s="45" t="e">
        <f>SUM(K125:K126)</f>
        <v>#REF!</v>
      </c>
      <c r="L129" s="46"/>
      <c r="M129" s="46">
        <f>SUM(M127:M128)</f>
        <v>205976</v>
      </c>
      <c r="N129" s="47"/>
      <c r="O129" s="47">
        <f>SUM(O125:O126)</f>
        <v>398000</v>
      </c>
      <c r="P129" s="47">
        <f>SUM(P125:P126)</f>
        <v>796000</v>
      </c>
      <c r="Q129" s="47">
        <f>SUM(Q126)</f>
        <v>398000</v>
      </c>
      <c r="R129" s="47">
        <f>SUM(R125:R127)</f>
        <v>448976</v>
      </c>
      <c r="S129" s="47">
        <f>SUM(S125:S128)</f>
        <v>773535</v>
      </c>
      <c r="T129" s="47">
        <f>SUM(T125:T128)</f>
        <v>398000</v>
      </c>
      <c r="U129" s="47">
        <f>SUM(U128)</f>
        <v>19812</v>
      </c>
      <c r="V129" s="48">
        <f>SUM(V125:V127)+V128</f>
        <v>3232323</v>
      </c>
      <c r="W129" s="49">
        <f>SUM(W125:W128)</f>
        <v>1760253</v>
      </c>
    </row>
    <row r="130" spans="1:24" ht="16.5" thickBot="1" x14ac:dyDescent="0.3">
      <c r="A130" s="14"/>
      <c r="B130" s="14"/>
      <c r="C130" s="14"/>
      <c r="D130" s="50"/>
      <c r="E130" s="51"/>
      <c r="F130" s="52"/>
      <c r="G130" s="52"/>
      <c r="H130" s="52"/>
      <c r="I130" s="52"/>
      <c r="J130" s="53"/>
      <c r="K130" s="54"/>
      <c r="L130" s="55"/>
      <c r="M130" s="55"/>
      <c r="N130" s="56"/>
      <c r="O130" s="56"/>
      <c r="P130" s="56"/>
      <c r="Q130" s="56"/>
      <c r="R130" s="56"/>
      <c r="S130" s="56"/>
      <c r="T130" s="56"/>
      <c r="U130" s="56"/>
      <c r="V130" s="57"/>
      <c r="W130" s="58"/>
    </row>
    <row r="131" spans="1:24" ht="16.5" thickBot="1" x14ac:dyDescent="0.3">
      <c r="A131" s="14"/>
      <c r="B131" s="14"/>
      <c r="C131" s="14"/>
      <c r="D131" s="41"/>
      <c r="E131" s="42" t="s">
        <v>202</v>
      </c>
      <c r="F131" s="43" t="s">
        <v>203</v>
      </c>
      <c r="G131" s="43"/>
      <c r="H131" s="43"/>
      <c r="I131" s="43"/>
      <c r="J131" s="44"/>
      <c r="K131" s="45"/>
      <c r="L131" s="46"/>
      <c r="M131" s="46"/>
      <c r="N131" s="47"/>
      <c r="O131" s="47"/>
      <c r="P131" s="47"/>
      <c r="Q131" s="47"/>
      <c r="R131" s="47"/>
      <c r="S131" s="47"/>
      <c r="T131" s="47"/>
      <c r="U131" s="47"/>
      <c r="V131" s="48"/>
      <c r="W131" s="49"/>
    </row>
    <row r="132" spans="1:24" ht="15.75" x14ac:dyDescent="0.25">
      <c r="A132" s="14"/>
      <c r="B132" s="14"/>
      <c r="C132" s="14"/>
      <c r="D132" s="15">
        <v>62</v>
      </c>
      <c r="E132" s="16" t="s">
        <v>204</v>
      </c>
      <c r="F132" s="17" t="s">
        <v>205</v>
      </c>
      <c r="G132" s="17">
        <v>0</v>
      </c>
      <c r="H132" s="17">
        <v>250000</v>
      </c>
      <c r="I132" s="17">
        <v>300000</v>
      </c>
      <c r="J132" s="18">
        <v>550000</v>
      </c>
      <c r="K132" s="19" t="e">
        <f>+#REF!-#REF!</f>
        <v>#REF!</v>
      </c>
      <c r="L132" s="20">
        <f>250000+250000</f>
        <v>500000</v>
      </c>
      <c r="M132" s="20">
        <v>505225</v>
      </c>
      <c r="N132" s="21">
        <f>SUM(N136)</f>
        <v>0</v>
      </c>
      <c r="O132" s="21"/>
      <c r="P132" s="21"/>
      <c r="Q132" s="21"/>
      <c r="R132" s="21"/>
      <c r="S132" s="21"/>
      <c r="T132" s="21"/>
      <c r="U132" s="21"/>
      <c r="V132" s="22">
        <f>N132+O132+P132</f>
        <v>0</v>
      </c>
      <c r="W132" s="22">
        <f t="shared" ref="W132:W139" si="28">+J132-L132+M132-V132</f>
        <v>555225</v>
      </c>
    </row>
    <row r="133" spans="1:24" ht="15.75" x14ac:dyDescent="0.25">
      <c r="A133" s="14"/>
      <c r="B133" s="14"/>
      <c r="C133" s="14"/>
      <c r="D133" s="24">
        <v>63</v>
      </c>
      <c r="E133" s="25" t="s">
        <v>206</v>
      </c>
      <c r="F133" s="26" t="s">
        <v>207</v>
      </c>
      <c r="G133" s="26">
        <v>0</v>
      </c>
      <c r="H133" s="26">
        <v>100000</v>
      </c>
      <c r="I133" s="26">
        <v>100000</v>
      </c>
      <c r="J133" s="27">
        <v>200000</v>
      </c>
      <c r="K133" s="28" t="e">
        <f>+#REF!-#REF!</f>
        <v>#REF!</v>
      </c>
      <c r="L133" s="29"/>
      <c r="M133" s="29">
        <f>190000+165000+7000</f>
        <v>362000</v>
      </c>
      <c r="N133" s="30"/>
      <c r="O133" s="30"/>
      <c r="P133" s="30">
        <v>386095.66</v>
      </c>
      <c r="Q133" s="30">
        <v>66021</v>
      </c>
      <c r="R133" s="30">
        <f>101355.94-3046.6</f>
        <v>98309.34</v>
      </c>
      <c r="S133" s="30"/>
      <c r="T133" s="30"/>
      <c r="U133" s="30">
        <v>78600</v>
      </c>
      <c r="V133" s="31">
        <f>SUM(P133:R133)+U133</f>
        <v>629026</v>
      </c>
      <c r="W133" s="22">
        <f t="shared" si="28"/>
        <v>-67026</v>
      </c>
    </row>
    <row r="134" spans="1:24" ht="15.75" x14ac:dyDescent="0.25">
      <c r="A134" s="14"/>
      <c r="B134" s="14"/>
      <c r="C134" s="14"/>
      <c r="D134" s="24">
        <v>64</v>
      </c>
      <c r="E134" s="25" t="s">
        <v>208</v>
      </c>
      <c r="F134" s="26" t="s">
        <v>209</v>
      </c>
      <c r="G134" s="26">
        <v>0</v>
      </c>
      <c r="H134" s="26">
        <v>60000</v>
      </c>
      <c r="I134" s="26">
        <v>0</v>
      </c>
      <c r="J134" s="27">
        <v>60000</v>
      </c>
      <c r="K134" s="28" t="e">
        <f>+#REF!-#REF!</f>
        <v>#REF!</v>
      </c>
      <c r="L134" s="29">
        <v>49000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1">
        <f t="shared" ref="V134" si="29">N134+O134+P134</f>
        <v>0</v>
      </c>
      <c r="W134" s="22">
        <f t="shared" si="28"/>
        <v>11000</v>
      </c>
    </row>
    <row r="135" spans="1:24" ht="15.75" x14ac:dyDescent="0.25">
      <c r="A135" s="14"/>
      <c r="B135" s="14"/>
      <c r="C135" s="14"/>
      <c r="D135" s="24"/>
      <c r="E135" s="25" t="s">
        <v>210</v>
      </c>
      <c r="F135" s="26" t="s">
        <v>211</v>
      </c>
      <c r="G135" s="26"/>
      <c r="H135" s="26"/>
      <c r="I135" s="26"/>
      <c r="J135" s="27"/>
      <c r="K135" s="28"/>
      <c r="L135" s="29"/>
      <c r="M135" s="29">
        <v>19000</v>
      </c>
      <c r="N135" s="30"/>
      <c r="O135" s="30"/>
      <c r="P135" s="30"/>
      <c r="Q135" s="30"/>
      <c r="R135" s="30"/>
      <c r="S135" s="30"/>
      <c r="T135" s="30"/>
      <c r="U135" s="30"/>
      <c r="V135" s="31"/>
      <c r="W135" s="22">
        <f t="shared" si="28"/>
        <v>19000</v>
      </c>
    </row>
    <row r="136" spans="1:24" ht="15.75" x14ac:dyDescent="0.25">
      <c r="A136" s="14"/>
      <c r="B136" s="14"/>
      <c r="C136" s="14"/>
      <c r="D136" s="24">
        <v>65</v>
      </c>
      <c r="E136" s="25" t="s">
        <v>212</v>
      </c>
      <c r="F136" s="26" t="s">
        <v>213</v>
      </c>
      <c r="G136" s="26">
        <v>0</v>
      </c>
      <c r="H136" s="26">
        <v>50000</v>
      </c>
      <c r="I136" s="26">
        <v>0</v>
      </c>
      <c r="J136" s="27">
        <v>50000</v>
      </c>
      <c r="K136" s="28" t="e">
        <f>+#REF!-#REF!</f>
        <v>#REF!</v>
      </c>
      <c r="L136" s="29"/>
      <c r="M136" s="29"/>
      <c r="N136" s="30"/>
      <c r="O136" s="30"/>
      <c r="P136" s="30">
        <v>12980</v>
      </c>
      <c r="Q136" s="30"/>
      <c r="R136" s="30">
        <f>15731.38-1571.38</f>
        <v>14160</v>
      </c>
      <c r="S136" s="30"/>
      <c r="T136" s="30"/>
      <c r="U136" s="30"/>
      <c r="V136" s="31">
        <f>N136+O136+P136+R136</f>
        <v>27140</v>
      </c>
      <c r="W136" s="22">
        <f t="shared" si="28"/>
        <v>22860</v>
      </c>
    </row>
    <row r="137" spans="1:24" ht="15.75" x14ac:dyDescent="0.25">
      <c r="A137" s="14"/>
      <c r="B137" s="14"/>
      <c r="C137" s="14"/>
      <c r="D137" s="33">
        <v>66</v>
      </c>
      <c r="E137" s="34" t="s">
        <v>214</v>
      </c>
      <c r="F137" s="35" t="s">
        <v>215</v>
      </c>
      <c r="G137" s="35"/>
      <c r="H137" s="35"/>
      <c r="I137" s="35"/>
      <c r="J137" s="36"/>
      <c r="K137" s="37"/>
      <c r="L137" s="38"/>
      <c r="M137" s="38">
        <v>1000</v>
      </c>
      <c r="N137" s="39"/>
      <c r="O137" s="39"/>
      <c r="P137" s="39"/>
      <c r="Q137" s="39"/>
      <c r="R137" s="39"/>
      <c r="S137" s="39"/>
      <c r="T137" s="39"/>
      <c r="U137" s="39"/>
      <c r="V137" s="31">
        <f>+R137</f>
        <v>0</v>
      </c>
      <c r="W137" s="22">
        <f t="shared" si="28"/>
        <v>1000</v>
      </c>
    </row>
    <row r="138" spans="1:24" ht="15.75" x14ac:dyDescent="0.25">
      <c r="A138" s="14"/>
      <c r="B138" s="14"/>
      <c r="C138" s="14"/>
      <c r="D138" s="33">
        <v>67</v>
      </c>
      <c r="E138" s="34" t="s">
        <v>216</v>
      </c>
      <c r="F138" s="35" t="s">
        <v>217</v>
      </c>
      <c r="G138" s="35">
        <v>0</v>
      </c>
      <c r="H138" s="35">
        <v>200000</v>
      </c>
      <c r="I138" s="35">
        <v>0</v>
      </c>
      <c r="J138" s="36">
        <v>200000</v>
      </c>
      <c r="K138" s="37" t="e">
        <f>+#REF!-#REF!</f>
        <v>#REF!</v>
      </c>
      <c r="L138" s="89"/>
      <c r="M138" s="89">
        <f>1393787+74400</f>
        <v>1468187</v>
      </c>
      <c r="N138" s="115"/>
      <c r="O138" s="39"/>
      <c r="P138" s="39">
        <v>70220.210000000006</v>
      </c>
      <c r="Q138" s="39">
        <v>24933.4</v>
      </c>
      <c r="R138" s="39">
        <f>278036.49-500</f>
        <v>277536.49</v>
      </c>
      <c r="S138" s="39">
        <v>726605.77</v>
      </c>
      <c r="T138" s="39"/>
      <c r="U138" s="39"/>
      <c r="V138" s="40">
        <f>SUM(P138:R138)+S138</f>
        <v>1099295.8700000001</v>
      </c>
      <c r="W138" s="22">
        <f t="shared" si="28"/>
        <v>568891.12999999989</v>
      </c>
      <c r="X138" s="23"/>
    </row>
    <row r="139" spans="1:24" ht="16.5" thickBot="1" x14ac:dyDescent="0.3">
      <c r="A139" s="14"/>
      <c r="B139" s="14"/>
      <c r="C139" s="14"/>
      <c r="D139" s="114"/>
      <c r="E139" s="82" t="s">
        <v>218</v>
      </c>
      <c r="F139" s="83" t="s">
        <v>219</v>
      </c>
      <c r="G139" s="83"/>
      <c r="H139" s="83"/>
      <c r="I139" s="83"/>
      <c r="J139" s="84"/>
      <c r="K139" s="85"/>
      <c r="L139" s="116"/>
      <c r="M139" s="116">
        <v>2999800</v>
      </c>
      <c r="N139" s="117"/>
      <c r="O139" s="59"/>
      <c r="P139" s="59"/>
      <c r="Q139" s="59"/>
      <c r="R139" s="59"/>
      <c r="S139" s="59"/>
      <c r="T139" s="59"/>
      <c r="U139" s="59"/>
      <c r="V139" s="74"/>
      <c r="W139" s="22">
        <f t="shared" si="28"/>
        <v>2999800</v>
      </c>
      <c r="X139" s="23"/>
    </row>
    <row r="140" spans="1:24" ht="16.5" thickBot="1" x14ac:dyDescent="0.3">
      <c r="A140" s="14"/>
      <c r="B140" s="14"/>
      <c r="C140" s="14"/>
      <c r="D140" s="41"/>
      <c r="E140" s="42"/>
      <c r="F140" s="43" t="s">
        <v>37</v>
      </c>
      <c r="G140" s="43"/>
      <c r="H140" s="43"/>
      <c r="I140" s="43"/>
      <c r="J140" s="44">
        <f>SUM(J132:J138)</f>
        <v>1060000</v>
      </c>
      <c r="K140" s="45" t="e">
        <f>SUM(K132:K138)</f>
        <v>#REF!</v>
      </c>
      <c r="L140" s="90">
        <f>SUM(L132:L138)</f>
        <v>549000</v>
      </c>
      <c r="M140" s="90">
        <f>SUM(M132:M139)</f>
        <v>5355212</v>
      </c>
      <c r="N140" s="118"/>
      <c r="O140" s="47"/>
      <c r="P140" s="47">
        <f>SUM(P133:P138)</f>
        <v>469295.87</v>
      </c>
      <c r="Q140" s="47">
        <f>SUM(Q133:Q138)</f>
        <v>90954.4</v>
      </c>
      <c r="R140" s="47">
        <f>SUM(R133:R138)</f>
        <v>390005.82999999996</v>
      </c>
      <c r="S140" s="47">
        <f>SUM(S132:S138)</f>
        <v>726605.77</v>
      </c>
      <c r="T140" s="47"/>
      <c r="U140" s="47">
        <f>SUM(U132:U139)</f>
        <v>78600</v>
      </c>
      <c r="V140" s="48">
        <f>SUM(V132:V138)</f>
        <v>1755461.87</v>
      </c>
      <c r="W140" s="49">
        <f>SUM(W132:W139)</f>
        <v>4110750.13</v>
      </c>
    </row>
    <row r="141" spans="1:24" ht="16.5" thickBot="1" x14ac:dyDescent="0.3">
      <c r="A141" s="14"/>
      <c r="B141" s="14"/>
      <c r="C141" s="14"/>
      <c r="D141" s="50"/>
      <c r="E141" s="51"/>
      <c r="F141" s="52"/>
      <c r="G141" s="52"/>
      <c r="H141" s="52"/>
      <c r="I141" s="52"/>
      <c r="J141" s="53"/>
      <c r="K141" s="54"/>
      <c r="L141" s="91"/>
      <c r="M141" s="91"/>
      <c r="N141" s="119"/>
      <c r="O141" s="56"/>
      <c r="P141" s="56"/>
      <c r="Q141" s="56"/>
      <c r="R141" s="56"/>
      <c r="S141" s="56"/>
      <c r="T141" s="56"/>
      <c r="U141" s="56"/>
      <c r="V141" s="57"/>
      <c r="W141" s="58"/>
    </row>
    <row r="142" spans="1:24" ht="16.5" thickBot="1" x14ac:dyDescent="0.3">
      <c r="A142" s="14"/>
      <c r="B142" s="14"/>
      <c r="C142" s="14"/>
      <c r="D142" s="41"/>
      <c r="E142" s="42" t="s">
        <v>220</v>
      </c>
      <c r="F142" s="43" t="s">
        <v>221</v>
      </c>
      <c r="G142" s="43"/>
      <c r="H142" s="43"/>
      <c r="I142" s="43"/>
      <c r="J142" s="44"/>
      <c r="K142" s="45"/>
      <c r="L142" s="90"/>
      <c r="M142" s="90"/>
      <c r="N142" s="118"/>
      <c r="O142" s="47"/>
      <c r="P142" s="47"/>
      <c r="Q142" s="47"/>
      <c r="R142" s="47"/>
      <c r="S142" s="47"/>
      <c r="T142" s="47"/>
      <c r="U142" s="47"/>
      <c r="V142" s="48"/>
      <c r="W142" s="49"/>
    </row>
    <row r="143" spans="1:24" ht="16.5" thickBot="1" x14ac:dyDescent="0.3">
      <c r="A143" s="14"/>
      <c r="B143" s="14"/>
      <c r="C143" s="14"/>
      <c r="D143" s="81">
        <v>68</v>
      </c>
      <c r="E143" s="82" t="s">
        <v>222</v>
      </c>
      <c r="F143" s="83" t="s">
        <v>223</v>
      </c>
      <c r="G143" s="83">
        <v>72673176</v>
      </c>
      <c r="H143" s="83">
        <v>0</v>
      </c>
      <c r="I143" s="83">
        <v>0</v>
      </c>
      <c r="J143" s="84">
        <v>50888071</v>
      </c>
      <c r="K143" s="85" t="e">
        <f>+#REF!-#REF!</f>
        <v>#REF!</v>
      </c>
      <c r="L143" s="116"/>
      <c r="M143" s="116"/>
      <c r="N143" s="117">
        <v>2056098</v>
      </c>
      <c r="O143" s="59">
        <v>2056098</v>
      </c>
      <c r="P143" s="59">
        <v>5310498</v>
      </c>
      <c r="Q143" s="59">
        <v>2056098</v>
      </c>
      <c r="R143" s="59">
        <v>2056098</v>
      </c>
      <c r="S143" s="59">
        <v>3217698</v>
      </c>
      <c r="T143" s="59">
        <f>1554600+2056098</f>
        <v>3610698</v>
      </c>
      <c r="U143" s="59">
        <f>1753200+2096098</f>
        <v>3849298</v>
      </c>
      <c r="V143" s="74">
        <f>SUM(N143:U143)</f>
        <v>24212584</v>
      </c>
      <c r="W143" s="22">
        <f t="shared" ref="W143" si="30">+J143-L143+M143-V143</f>
        <v>26675487</v>
      </c>
      <c r="X143" s="23"/>
    </row>
    <row r="144" spans="1:24" ht="16.5" thickBot="1" x14ac:dyDescent="0.3">
      <c r="A144" s="14"/>
      <c r="B144" s="14"/>
      <c r="C144" s="14"/>
      <c r="D144" s="41"/>
      <c r="E144" s="42"/>
      <c r="F144" s="43" t="s">
        <v>37</v>
      </c>
      <c r="G144" s="43"/>
      <c r="H144" s="43"/>
      <c r="I144" s="43"/>
      <c r="J144" s="44">
        <v>50888071</v>
      </c>
      <c r="K144" s="45"/>
      <c r="L144" s="90"/>
      <c r="M144" s="90"/>
      <c r="N144" s="118">
        <f t="shared" ref="N144:V144" si="31">SUM(N143)</f>
        <v>2056098</v>
      </c>
      <c r="O144" s="47">
        <f t="shared" si="31"/>
        <v>2056098</v>
      </c>
      <c r="P144" s="47">
        <f t="shared" si="31"/>
        <v>5310498</v>
      </c>
      <c r="Q144" s="47">
        <f t="shared" si="31"/>
        <v>2056098</v>
      </c>
      <c r="R144" s="47">
        <f t="shared" si="31"/>
        <v>2056098</v>
      </c>
      <c r="S144" s="47">
        <f>SUM(S143)</f>
        <v>3217698</v>
      </c>
      <c r="T144" s="47">
        <f>SUM(T143)</f>
        <v>3610698</v>
      </c>
      <c r="U144" s="47">
        <f>SUM(U143)</f>
        <v>3849298</v>
      </c>
      <c r="V144" s="48">
        <f t="shared" si="31"/>
        <v>24212584</v>
      </c>
      <c r="W144" s="49">
        <f>W143</f>
        <v>26675487</v>
      </c>
    </row>
    <row r="145" spans="1:23" ht="16.5" thickBot="1" x14ac:dyDescent="0.3">
      <c r="A145" s="14"/>
      <c r="B145" s="14"/>
      <c r="C145" s="14"/>
      <c r="D145" s="81"/>
      <c r="E145" s="82"/>
      <c r="F145" s="52"/>
      <c r="G145" s="83"/>
      <c r="H145" s="83"/>
      <c r="I145" s="83"/>
      <c r="J145" s="84"/>
      <c r="K145" s="85"/>
      <c r="L145" s="116"/>
      <c r="M145" s="116"/>
      <c r="N145" s="117"/>
      <c r="O145" s="59"/>
      <c r="P145" s="59"/>
      <c r="Q145" s="59"/>
      <c r="R145" s="59"/>
      <c r="S145" s="59"/>
      <c r="T145" s="59"/>
      <c r="U145" s="59"/>
      <c r="V145" s="74"/>
      <c r="W145" s="74"/>
    </row>
    <row r="146" spans="1:23" ht="16.5" thickBot="1" x14ac:dyDescent="0.3">
      <c r="A146" s="14"/>
      <c r="B146" s="14"/>
      <c r="C146" s="14"/>
      <c r="D146" s="41"/>
      <c r="E146" s="42" t="s">
        <v>224</v>
      </c>
      <c r="F146" s="43" t="s">
        <v>225</v>
      </c>
      <c r="G146" s="43"/>
      <c r="H146" s="43"/>
      <c r="I146" s="43"/>
      <c r="J146" s="44"/>
      <c r="K146" s="45"/>
      <c r="L146" s="90"/>
      <c r="M146" s="90"/>
      <c r="N146" s="118"/>
      <c r="O146" s="47"/>
      <c r="P146" s="47"/>
      <c r="Q146" s="47"/>
      <c r="R146" s="47"/>
      <c r="S146" s="47"/>
      <c r="T146" s="47"/>
      <c r="U146" s="47"/>
      <c r="V146" s="48"/>
      <c r="W146" s="49"/>
    </row>
    <row r="147" spans="1:23" ht="15.75" x14ac:dyDescent="0.25">
      <c r="A147" s="14"/>
      <c r="B147" s="14"/>
      <c r="C147" s="14"/>
      <c r="D147" s="15">
        <v>69</v>
      </c>
      <c r="E147" s="16" t="s">
        <v>226</v>
      </c>
      <c r="F147" s="17" t="s">
        <v>227</v>
      </c>
      <c r="G147" s="17">
        <v>0</v>
      </c>
      <c r="H147" s="17">
        <v>200000</v>
      </c>
      <c r="I147" s="17">
        <v>1000000</v>
      </c>
      <c r="J147" s="18">
        <v>700000</v>
      </c>
      <c r="K147" s="19" t="e">
        <f>+#REF!-#REF!</f>
        <v>#REF!</v>
      </c>
      <c r="L147" s="87">
        <v>832900</v>
      </c>
      <c r="M147" s="87">
        <v>1186000</v>
      </c>
      <c r="N147" s="120"/>
      <c r="O147" s="21"/>
      <c r="P147" s="21"/>
      <c r="Q147" s="21">
        <v>16455.099999999999</v>
      </c>
      <c r="R147" s="21">
        <v>54975.26</v>
      </c>
      <c r="S147" s="21"/>
      <c r="T147" s="21"/>
      <c r="U147" s="21"/>
      <c r="V147" s="22">
        <f>SUM(Q147)+R147</f>
        <v>71430.36</v>
      </c>
      <c r="W147" s="22">
        <f t="shared" ref="W147:W151" si="32">+J147-L147+M147-V147</f>
        <v>981669.64</v>
      </c>
    </row>
    <row r="148" spans="1:23" ht="15.75" x14ac:dyDescent="0.25">
      <c r="A148" s="14"/>
      <c r="B148" s="14"/>
      <c r="C148" s="14"/>
      <c r="D148" s="24">
        <v>70</v>
      </c>
      <c r="E148" s="25" t="s">
        <v>228</v>
      </c>
      <c r="F148" s="26" t="s">
        <v>229</v>
      </c>
      <c r="G148" s="26">
        <v>0</v>
      </c>
      <c r="H148" s="26">
        <v>200000</v>
      </c>
      <c r="I148" s="26">
        <v>1000000</v>
      </c>
      <c r="J148" s="27">
        <v>800000</v>
      </c>
      <c r="K148" s="28" t="e">
        <f>+#REF!-#REF!</f>
        <v>#REF!</v>
      </c>
      <c r="L148" s="88"/>
      <c r="M148" s="88">
        <v>134900</v>
      </c>
      <c r="N148" s="121"/>
      <c r="O148" s="30">
        <v>35400</v>
      </c>
      <c r="P148" s="30"/>
      <c r="Q148" s="30">
        <f>280056.06-19846</f>
        <v>260210.06</v>
      </c>
      <c r="R148" s="30"/>
      <c r="S148" s="30"/>
      <c r="T148" s="30"/>
      <c r="U148" s="30"/>
      <c r="V148" s="31">
        <f>N148+O148+Q148</f>
        <v>295610.06</v>
      </c>
      <c r="W148" s="22">
        <f t="shared" si="32"/>
        <v>639289.93999999994</v>
      </c>
    </row>
    <row r="149" spans="1:23" ht="15.75" x14ac:dyDescent="0.25">
      <c r="A149" s="14"/>
      <c r="B149" s="14"/>
      <c r="C149" s="14"/>
      <c r="D149" s="24">
        <v>71</v>
      </c>
      <c r="E149" s="25" t="s">
        <v>230</v>
      </c>
      <c r="F149" s="26" t="s">
        <v>231</v>
      </c>
      <c r="G149" s="26">
        <v>0</v>
      </c>
      <c r="H149" s="26">
        <v>200000</v>
      </c>
      <c r="I149" s="26">
        <v>400000</v>
      </c>
      <c r="J149" s="27">
        <v>500000</v>
      </c>
      <c r="K149" s="28" t="e">
        <f>+#REF!-#REF!</f>
        <v>#REF!</v>
      </c>
      <c r="L149" s="88">
        <v>490000</v>
      </c>
      <c r="M149" s="88">
        <v>747000</v>
      </c>
      <c r="N149" s="121"/>
      <c r="O149" s="30"/>
      <c r="P149" s="30"/>
      <c r="Q149" s="30"/>
      <c r="R149" s="30"/>
      <c r="S149" s="30"/>
      <c r="T149" s="30"/>
      <c r="U149" s="30">
        <v>749536</v>
      </c>
      <c r="V149" s="31">
        <f>+U149</f>
        <v>749536</v>
      </c>
      <c r="W149" s="22">
        <f t="shared" si="32"/>
        <v>7464</v>
      </c>
    </row>
    <row r="150" spans="1:23" ht="15.75" x14ac:dyDescent="0.25">
      <c r="A150" s="14"/>
      <c r="B150" s="14"/>
      <c r="C150" s="14"/>
      <c r="D150" s="33">
        <v>72</v>
      </c>
      <c r="E150" s="34" t="s">
        <v>232</v>
      </c>
      <c r="F150" s="35" t="s">
        <v>233</v>
      </c>
      <c r="G150" s="35">
        <v>0</v>
      </c>
      <c r="H150" s="35">
        <v>300000</v>
      </c>
      <c r="I150" s="35">
        <v>250000</v>
      </c>
      <c r="J150" s="36">
        <v>500000</v>
      </c>
      <c r="K150" s="37" t="e">
        <f>+#REF!-#REF!</f>
        <v>#REF!</v>
      </c>
      <c r="L150" s="89">
        <v>476000</v>
      </c>
      <c r="M150" s="89">
        <v>25000</v>
      </c>
      <c r="N150" s="115"/>
      <c r="O150" s="39">
        <v>23364</v>
      </c>
      <c r="P150" s="39"/>
      <c r="Q150" s="39"/>
      <c r="R150" s="39"/>
      <c r="S150" s="39"/>
      <c r="T150" s="39"/>
      <c r="U150" s="39"/>
      <c r="V150" s="40">
        <f t="shared" si="18"/>
        <v>23364</v>
      </c>
      <c r="W150" s="22">
        <f t="shared" si="32"/>
        <v>25636</v>
      </c>
    </row>
    <row r="151" spans="1:23" ht="16.5" thickBot="1" x14ac:dyDescent="0.3">
      <c r="A151" s="14"/>
      <c r="B151" s="14"/>
      <c r="C151" s="14"/>
      <c r="D151" s="114"/>
      <c r="E151" s="82" t="s">
        <v>234</v>
      </c>
      <c r="F151" s="83" t="s">
        <v>235</v>
      </c>
      <c r="G151" s="83"/>
      <c r="H151" s="83"/>
      <c r="I151" s="83"/>
      <c r="J151" s="84"/>
      <c r="K151" s="85"/>
      <c r="L151" s="116"/>
      <c r="M151" s="116">
        <v>11000</v>
      </c>
      <c r="N151" s="117"/>
      <c r="O151" s="59"/>
      <c r="P151" s="59"/>
      <c r="Q151" s="59"/>
      <c r="R151" s="59"/>
      <c r="S151" s="59"/>
      <c r="T151" s="59"/>
      <c r="U151" s="59"/>
      <c r="V151" s="74"/>
      <c r="W151" s="22">
        <f t="shared" si="32"/>
        <v>11000</v>
      </c>
    </row>
    <row r="152" spans="1:23" ht="16.5" thickBot="1" x14ac:dyDescent="0.3">
      <c r="A152" s="14"/>
      <c r="B152" s="14"/>
      <c r="C152" s="14"/>
      <c r="D152" s="41"/>
      <c r="E152" s="42"/>
      <c r="F152" s="43" t="s">
        <v>37</v>
      </c>
      <c r="G152" s="43"/>
      <c r="H152" s="43"/>
      <c r="I152" s="43"/>
      <c r="J152" s="44">
        <f>SUM(J147:J150)</f>
        <v>2500000</v>
      </c>
      <c r="K152" s="45"/>
      <c r="L152" s="90">
        <f>SUM(L147:L150)</f>
        <v>1798900</v>
      </c>
      <c r="M152" s="90">
        <f>SUM(M147:M151)</f>
        <v>2103900</v>
      </c>
      <c r="N152" s="118"/>
      <c r="O152" s="47">
        <f>SUM(O147:O150)</f>
        <v>58764</v>
      </c>
      <c r="P152" s="47"/>
      <c r="Q152" s="47">
        <f>SUM(Q147:Q150)</f>
        <v>276665.15999999997</v>
      </c>
      <c r="R152" s="47">
        <f>SUM(R147:R150)</f>
        <v>54975.26</v>
      </c>
      <c r="S152" s="47"/>
      <c r="T152" s="47"/>
      <c r="U152" s="47">
        <f>SUM(U149:U150)</f>
        <v>749536</v>
      </c>
      <c r="V152" s="48">
        <f>SUM(V147:V150)</f>
        <v>1139940.42</v>
      </c>
      <c r="W152" s="49">
        <f>SUM(W146:W150)</f>
        <v>1654059.58</v>
      </c>
    </row>
    <row r="153" spans="1:23" ht="16.5" thickBot="1" x14ac:dyDescent="0.3">
      <c r="A153" s="14"/>
      <c r="B153" s="14"/>
      <c r="C153" s="14"/>
      <c r="D153" s="50"/>
      <c r="E153" s="51"/>
      <c r="F153" s="52"/>
      <c r="G153" s="52"/>
      <c r="H153" s="52"/>
      <c r="I153" s="52"/>
      <c r="J153" s="53"/>
      <c r="K153" s="54"/>
      <c r="L153" s="91"/>
      <c r="M153" s="91"/>
      <c r="N153" s="119"/>
      <c r="O153" s="56"/>
      <c r="P153" s="56"/>
      <c r="Q153" s="56"/>
      <c r="R153" s="56"/>
      <c r="S153" s="56"/>
      <c r="T153" s="56"/>
      <c r="U153" s="56"/>
      <c r="V153" s="57"/>
      <c r="W153" s="58"/>
    </row>
    <row r="154" spans="1:23" ht="16.5" thickBot="1" x14ac:dyDescent="0.3">
      <c r="A154" s="14"/>
      <c r="B154" s="14"/>
      <c r="C154" s="14"/>
      <c r="D154" s="41"/>
      <c r="E154" s="42" t="s">
        <v>236</v>
      </c>
      <c r="F154" s="43" t="s">
        <v>237</v>
      </c>
      <c r="G154" s="43"/>
      <c r="H154" s="43"/>
      <c r="I154" s="43"/>
      <c r="J154" s="44"/>
      <c r="K154" s="45"/>
      <c r="L154" s="90"/>
      <c r="M154" s="90"/>
      <c r="N154" s="118"/>
      <c r="O154" s="47"/>
      <c r="P154" s="47"/>
      <c r="Q154" s="47"/>
      <c r="R154" s="47"/>
      <c r="S154" s="47"/>
      <c r="T154" s="47"/>
      <c r="U154" s="47"/>
      <c r="V154" s="48"/>
      <c r="W154" s="49"/>
    </row>
    <row r="155" spans="1:23" ht="16.5" thickBot="1" x14ac:dyDescent="0.3">
      <c r="A155" s="14"/>
      <c r="B155" s="14"/>
      <c r="C155" s="14"/>
      <c r="D155" s="81">
        <v>73</v>
      </c>
      <c r="E155" s="82" t="s">
        <v>238</v>
      </c>
      <c r="F155" s="83" t="s">
        <v>239</v>
      </c>
      <c r="G155" s="83">
        <v>0</v>
      </c>
      <c r="H155" s="83">
        <v>100000</v>
      </c>
      <c r="I155" s="83"/>
      <c r="J155" s="84">
        <v>100000</v>
      </c>
      <c r="K155" s="54" t="e">
        <f>+#REF!-#REF!</f>
        <v>#REF!</v>
      </c>
      <c r="L155" s="116">
        <v>100000</v>
      </c>
      <c r="M155" s="91"/>
      <c r="N155" s="117"/>
      <c r="O155" s="59"/>
      <c r="P155" s="59"/>
      <c r="Q155" s="59"/>
      <c r="R155" s="59"/>
      <c r="S155" s="59"/>
      <c r="T155" s="59"/>
      <c r="U155" s="59"/>
      <c r="V155" s="74">
        <f>+R155</f>
        <v>0</v>
      </c>
      <c r="W155" s="22">
        <f t="shared" ref="W155:W156" si="33">+J155-L155+M155-V155</f>
        <v>0</v>
      </c>
    </row>
    <row r="156" spans="1:23" ht="16.5" thickBot="1" x14ac:dyDescent="0.3">
      <c r="A156" s="14"/>
      <c r="B156" s="14"/>
      <c r="C156" s="14"/>
      <c r="D156" s="41"/>
      <c r="E156" s="42"/>
      <c r="F156" s="43" t="s">
        <v>37</v>
      </c>
      <c r="G156" s="43"/>
      <c r="H156" s="43"/>
      <c r="I156" s="43"/>
      <c r="J156" s="44">
        <v>100000</v>
      </c>
      <c r="K156" s="45"/>
      <c r="L156" s="90">
        <f>SUM(L155)</f>
        <v>100000</v>
      </c>
      <c r="M156" s="90"/>
      <c r="N156" s="118"/>
      <c r="O156" s="47"/>
      <c r="P156" s="47"/>
      <c r="Q156" s="47"/>
      <c r="R156" s="47">
        <f>SUM(R155)</f>
        <v>0</v>
      </c>
      <c r="S156" s="47"/>
      <c r="T156" s="47"/>
      <c r="U156" s="47"/>
      <c r="V156" s="48">
        <f>SUM(V155)</f>
        <v>0</v>
      </c>
      <c r="W156" s="22">
        <f t="shared" si="33"/>
        <v>0</v>
      </c>
    </row>
    <row r="157" spans="1:23" ht="16.5" thickBot="1" x14ac:dyDescent="0.3">
      <c r="A157" s="14"/>
      <c r="B157" s="14"/>
      <c r="C157" s="14"/>
      <c r="D157" s="81"/>
      <c r="E157" s="82"/>
      <c r="F157" s="52"/>
      <c r="G157" s="83"/>
      <c r="H157" s="83"/>
      <c r="I157" s="83"/>
      <c r="J157" s="84"/>
      <c r="K157" s="54"/>
      <c r="L157" s="91"/>
      <c r="M157" s="91"/>
      <c r="N157" s="117"/>
      <c r="O157" s="59"/>
      <c r="P157" s="59"/>
      <c r="Q157" s="59"/>
      <c r="R157" s="59"/>
      <c r="S157" s="59"/>
      <c r="T157" s="59"/>
      <c r="U157" s="59"/>
      <c r="V157" s="74"/>
      <c r="W157" s="74"/>
    </row>
    <row r="158" spans="1:23" ht="16.5" thickBot="1" x14ac:dyDescent="0.3">
      <c r="A158" s="14"/>
      <c r="B158" s="14"/>
      <c r="C158" s="14"/>
      <c r="D158" s="41"/>
      <c r="E158" s="42" t="s">
        <v>240</v>
      </c>
      <c r="F158" s="43" t="s">
        <v>241</v>
      </c>
      <c r="G158" s="43"/>
      <c r="H158" s="43"/>
      <c r="I158" s="43"/>
      <c r="J158" s="44"/>
      <c r="K158" s="45"/>
      <c r="L158" s="90"/>
      <c r="M158" s="90"/>
      <c r="N158" s="118"/>
      <c r="O158" s="47"/>
      <c r="P158" s="47"/>
      <c r="Q158" s="47"/>
      <c r="R158" s="47"/>
      <c r="S158" s="47"/>
      <c r="T158" s="47"/>
      <c r="U158" s="47"/>
      <c r="V158" s="48"/>
      <c r="W158" s="49"/>
    </row>
    <row r="159" spans="1:23" ht="16.5" thickBot="1" x14ac:dyDescent="0.3">
      <c r="A159" s="14"/>
      <c r="B159" s="14"/>
      <c r="C159" s="14"/>
      <c r="D159" s="81">
        <v>74</v>
      </c>
      <c r="E159" s="82" t="s">
        <v>242</v>
      </c>
      <c r="F159" s="83" t="s">
        <v>243</v>
      </c>
      <c r="G159" s="83">
        <v>0</v>
      </c>
      <c r="H159" s="83">
        <v>1000000</v>
      </c>
      <c r="I159" s="83">
        <v>1000000</v>
      </c>
      <c r="J159" s="84">
        <v>1000000</v>
      </c>
      <c r="K159" s="54" t="e">
        <f>+#REF!-#REF!</f>
        <v>#REF!</v>
      </c>
      <c r="L159" s="91"/>
      <c r="M159" s="116">
        <f>1472619+300000</f>
        <v>1772619</v>
      </c>
      <c r="N159" s="117"/>
      <c r="O159" s="59"/>
      <c r="P159" s="59"/>
      <c r="Q159" s="59"/>
      <c r="R159" s="59"/>
      <c r="S159" s="59"/>
      <c r="T159" s="59"/>
      <c r="U159" s="59"/>
      <c r="V159" s="74">
        <f t="shared" si="18"/>
        <v>0</v>
      </c>
      <c r="W159" s="22">
        <f t="shared" ref="W159" si="34">+J159-L159+M159-V159</f>
        <v>2772619</v>
      </c>
    </row>
    <row r="160" spans="1:23" ht="16.5" thickBot="1" x14ac:dyDescent="0.3">
      <c r="A160" s="14"/>
      <c r="B160" s="14"/>
      <c r="C160" s="14"/>
      <c r="D160" s="41"/>
      <c r="E160" s="42"/>
      <c r="F160" s="43" t="s">
        <v>37</v>
      </c>
      <c r="G160" s="43"/>
      <c r="H160" s="43"/>
      <c r="I160" s="43"/>
      <c r="J160" s="44">
        <v>1000000</v>
      </c>
      <c r="K160" s="45"/>
      <c r="L160" s="90"/>
      <c r="M160" s="90">
        <f>SUM(M159)</f>
        <v>1772619</v>
      </c>
      <c r="N160" s="118"/>
      <c r="O160" s="47"/>
      <c r="P160" s="47"/>
      <c r="Q160" s="47"/>
      <c r="R160" s="47"/>
      <c r="S160" s="47"/>
      <c r="T160" s="47"/>
      <c r="U160" s="47"/>
      <c r="V160" s="48"/>
      <c r="W160" s="49">
        <f>+J160-L160+M160-V160</f>
        <v>2772619</v>
      </c>
    </row>
    <row r="161" spans="1:23" ht="16.5" thickBot="1" x14ac:dyDescent="0.3">
      <c r="A161" s="14"/>
      <c r="B161" s="14"/>
      <c r="C161" s="14"/>
      <c r="D161" s="81"/>
      <c r="E161" s="82"/>
      <c r="F161" s="52"/>
      <c r="G161" s="83"/>
      <c r="H161" s="83"/>
      <c r="I161" s="83"/>
      <c r="J161" s="84"/>
      <c r="K161" s="54"/>
      <c r="L161" s="91"/>
      <c r="M161" s="91"/>
      <c r="N161" s="117"/>
      <c r="O161" s="59"/>
      <c r="P161" s="59"/>
      <c r="Q161" s="59"/>
      <c r="R161" s="59"/>
      <c r="S161" s="59"/>
      <c r="T161" s="59"/>
      <c r="U161" s="59"/>
      <c r="V161" s="74"/>
      <c r="W161" s="74"/>
    </row>
    <row r="162" spans="1:23" ht="16.5" thickBot="1" x14ac:dyDescent="0.3">
      <c r="A162" s="14"/>
      <c r="B162" s="14"/>
      <c r="C162" s="14"/>
      <c r="D162" s="41"/>
      <c r="E162" s="42" t="s">
        <v>244</v>
      </c>
      <c r="F162" s="43" t="s">
        <v>245</v>
      </c>
      <c r="G162" s="43"/>
      <c r="H162" s="43"/>
      <c r="I162" s="43"/>
      <c r="J162" s="44"/>
      <c r="K162" s="45"/>
      <c r="L162" s="90"/>
      <c r="M162" s="90"/>
      <c r="N162" s="118"/>
      <c r="O162" s="47"/>
      <c r="P162" s="47"/>
      <c r="Q162" s="47"/>
      <c r="R162" s="47"/>
      <c r="S162" s="47"/>
      <c r="T162" s="47"/>
      <c r="U162" s="47"/>
      <c r="V162" s="48"/>
      <c r="W162" s="49"/>
    </row>
    <row r="163" spans="1:23" ht="16.5" thickBot="1" x14ac:dyDescent="0.3">
      <c r="A163" s="14"/>
      <c r="B163" s="14"/>
      <c r="C163" s="14"/>
      <c r="D163" s="41">
        <v>75</v>
      </c>
      <c r="E163" s="122" t="s">
        <v>246</v>
      </c>
      <c r="F163" s="123" t="s">
        <v>247</v>
      </c>
      <c r="G163" s="43"/>
      <c r="H163" s="43"/>
      <c r="I163" s="43"/>
      <c r="J163" s="44"/>
      <c r="K163" s="45"/>
      <c r="L163" s="90"/>
      <c r="M163" s="124">
        <v>860000</v>
      </c>
      <c r="N163" s="118"/>
      <c r="O163" s="47"/>
      <c r="P163" s="47"/>
      <c r="Q163" s="47"/>
      <c r="R163" s="47"/>
      <c r="S163" s="47"/>
      <c r="T163" s="47"/>
      <c r="U163" s="47"/>
      <c r="V163" s="48"/>
      <c r="W163" s="22">
        <f t="shared" ref="W163:W165" si="35">+J163-L163+M163-V163</f>
        <v>860000</v>
      </c>
    </row>
    <row r="164" spans="1:23" ht="16.5" thickBot="1" x14ac:dyDescent="0.3">
      <c r="A164" s="14"/>
      <c r="B164" s="14"/>
      <c r="C164" s="14"/>
      <c r="D164" s="72"/>
      <c r="E164" s="125" t="s">
        <v>248</v>
      </c>
      <c r="F164" s="126" t="s">
        <v>249</v>
      </c>
      <c r="G164" s="64"/>
      <c r="H164" s="64"/>
      <c r="I164" s="64"/>
      <c r="J164" s="65"/>
      <c r="K164" s="66"/>
      <c r="L164" s="127"/>
      <c r="M164" s="128">
        <v>1000000</v>
      </c>
      <c r="N164" s="129"/>
      <c r="O164" s="69"/>
      <c r="P164" s="69"/>
      <c r="Q164" s="69"/>
      <c r="R164" s="69"/>
      <c r="S164" s="69"/>
      <c r="T164" s="69"/>
      <c r="U164" s="69"/>
      <c r="V164" s="70"/>
      <c r="W164" s="22">
        <f t="shared" si="35"/>
        <v>1000000</v>
      </c>
    </row>
    <row r="165" spans="1:23" ht="16.5" thickBot="1" x14ac:dyDescent="0.3">
      <c r="A165" s="14"/>
      <c r="B165" s="14"/>
      <c r="C165" s="14"/>
      <c r="D165" s="62">
        <v>76</v>
      </c>
      <c r="E165" s="130" t="s">
        <v>250</v>
      </c>
      <c r="F165" s="131" t="s">
        <v>251</v>
      </c>
      <c r="G165" s="131">
        <v>0</v>
      </c>
      <c r="H165" s="131">
        <v>109985</v>
      </c>
      <c r="I165" s="131">
        <v>200000</v>
      </c>
      <c r="J165" s="132">
        <v>727325</v>
      </c>
      <c r="K165" s="133" t="e">
        <f>+#REF!-#REF!</f>
        <v>#REF!</v>
      </c>
      <c r="L165" s="128">
        <v>600000</v>
      </c>
      <c r="M165" s="128"/>
      <c r="N165" s="134"/>
      <c r="O165" s="135"/>
      <c r="P165" s="135"/>
      <c r="Q165" s="135">
        <v>126850</v>
      </c>
      <c r="R165" s="135"/>
      <c r="S165" s="135"/>
      <c r="T165" s="135"/>
      <c r="U165" s="135"/>
      <c r="V165" s="136">
        <f>SUM(Q165)</f>
        <v>126850</v>
      </c>
      <c r="W165" s="22">
        <f t="shared" si="35"/>
        <v>475</v>
      </c>
    </row>
    <row r="166" spans="1:23" ht="16.5" thickBot="1" x14ac:dyDescent="0.3">
      <c r="A166" s="14"/>
      <c r="B166" s="14"/>
      <c r="C166" s="14"/>
      <c r="D166" s="41"/>
      <c r="E166" s="42"/>
      <c r="F166" s="43" t="s">
        <v>37</v>
      </c>
      <c r="G166" s="43"/>
      <c r="H166" s="43"/>
      <c r="I166" s="43"/>
      <c r="J166" s="44">
        <v>727325</v>
      </c>
      <c r="K166" s="45"/>
      <c r="L166" s="90">
        <f>SUM(L165)</f>
        <v>600000</v>
      </c>
      <c r="M166" s="90">
        <f>SUM(M163:M165)</f>
        <v>1860000</v>
      </c>
      <c r="N166" s="118"/>
      <c r="O166" s="47"/>
      <c r="P166" s="47"/>
      <c r="Q166" s="47">
        <f>SUM(Q165)</f>
        <v>126850</v>
      </c>
      <c r="R166" s="47"/>
      <c r="S166" s="47"/>
      <c r="T166" s="47"/>
      <c r="U166" s="47"/>
      <c r="V166" s="48">
        <f>SUM(Q166)</f>
        <v>126850</v>
      </c>
      <c r="W166" s="49">
        <f>+J166-L166+M166-V166</f>
        <v>1860475</v>
      </c>
    </row>
    <row r="167" spans="1:23" ht="16.5" thickBot="1" x14ac:dyDescent="0.3">
      <c r="A167" s="14"/>
      <c r="B167" s="14"/>
      <c r="C167" s="14"/>
      <c r="D167" s="41"/>
      <c r="E167" s="42" t="s">
        <v>252</v>
      </c>
      <c r="F167" s="43" t="s">
        <v>253</v>
      </c>
      <c r="G167" s="43"/>
      <c r="H167" s="43"/>
      <c r="I167" s="43"/>
      <c r="J167" s="44"/>
      <c r="K167" s="45"/>
      <c r="L167" s="90"/>
      <c r="M167" s="90"/>
      <c r="N167" s="118"/>
      <c r="O167" s="47"/>
      <c r="P167" s="47"/>
      <c r="Q167" s="47"/>
      <c r="R167" s="47"/>
      <c r="S167" s="47"/>
      <c r="T167" s="47"/>
      <c r="U167" s="47"/>
      <c r="V167" s="48"/>
      <c r="W167" s="49"/>
    </row>
    <row r="168" spans="1:23" ht="15.75" x14ac:dyDescent="0.25">
      <c r="A168" s="14"/>
      <c r="B168" s="14"/>
      <c r="C168" s="14"/>
      <c r="D168" s="92">
        <v>77</v>
      </c>
      <c r="E168" s="93" t="s">
        <v>254</v>
      </c>
      <c r="F168" s="94" t="s">
        <v>255</v>
      </c>
      <c r="G168" s="94"/>
      <c r="H168" s="94"/>
      <c r="I168" s="94"/>
      <c r="J168" s="95"/>
      <c r="K168" s="96"/>
      <c r="L168" s="97"/>
      <c r="M168" s="97">
        <f>2280000+200000</f>
        <v>2480000</v>
      </c>
      <c r="N168" s="137"/>
      <c r="O168" s="98"/>
      <c r="P168" s="98"/>
      <c r="Q168" s="98"/>
      <c r="R168" s="98"/>
      <c r="S168" s="98"/>
      <c r="T168" s="98"/>
      <c r="U168" s="98"/>
      <c r="V168" s="104"/>
      <c r="W168" s="22">
        <f t="shared" ref="W168:W169" si="36">+J168-L168+M168-V168</f>
        <v>2480000</v>
      </c>
    </row>
    <row r="169" spans="1:23" ht="16.5" thickBot="1" x14ac:dyDescent="0.3">
      <c r="A169" s="14"/>
      <c r="B169" s="14"/>
      <c r="C169" s="14"/>
      <c r="D169" s="107"/>
      <c r="E169" s="108"/>
      <c r="F169" s="109" t="s">
        <v>37</v>
      </c>
      <c r="G169" s="109"/>
      <c r="H169" s="109"/>
      <c r="I169" s="109"/>
      <c r="J169" s="110"/>
      <c r="K169" s="101"/>
      <c r="L169" s="102"/>
      <c r="M169" s="102">
        <f>SUM(M168)</f>
        <v>2480000</v>
      </c>
      <c r="N169" s="138"/>
      <c r="O169" s="112"/>
      <c r="P169" s="112"/>
      <c r="Q169" s="112"/>
      <c r="R169" s="112"/>
      <c r="S169" s="112"/>
      <c r="T169" s="112"/>
      <c r="U169" s="112"/>
      <c r="V169" s="113"/>
      <c r="W169" s="104">
        <f t="shared" si="36"/>
        <v>2480000</v>
      </c>
    </row>
    <row r="170" spans="1:23" ht="16.5" thickBot="1" x14ac:dyDescent="0.3">
      <c r="A170" s="14"/>
      <c r="B170" s="14"/>
      <c r="C170" s="14"/>
      <c r="D170" s="139"/>
      <c r="E170" s="140"/>
      <c r="F170" s="42" t="s">
        <v>256</v>
      </c>
      <c r="G170" s="43">
        <f>SUM(G8:G165)</f>
        <v>255621020.91000003</v>
      </c>
      <c r="H170" s="141">
        <f>SUM(H8:H165)</f>
        <v>67557672</v>
      </c>
      <c r="I170" s="43">
        <f>SUM(I8:I165)</f>
        <v>20000000</v>
      </c>
      <c r="J170" s="142">
        <f>J13+J22+J31+J37+J45+J50+J55+J62+J69+J74+J81+J93+J98+J104+J109+J113+J119+J129+J140+J144+J152+J156+J160+J166</f>
        <v>342921435</v>
      </c>
      <c r="K170" s="143" t="e">
        <f>++#REF!+#REF!+#REF!+#REF!+#REF!+#REF!+#REF!+#REF!+#REF!+K73+#REF!+#REF!+#REF!+#REF!+#REF!+K112+#REF!+#REF!+#REF!+#REF!+#REF!+#REF!+#REF!+K155+K159++#REF!+#REF!+#REF!</f>
        <v>#REF!</v>
      </c>
      <c r="L170" s="46">
        <f>+L13+L22+L25+L31+L37+L45+L50+L55+L62+L69+L74+L81+L93+L98+L104+L109+L113+L119+L123+L129+L140+L144+L152+L156+L160+L166+L169</f>
        <v>36534203</v>
      </c>
      <c r="M170" s="46">
        <f>+M13+M22+M25+M31+M45+M50+M55+M62+M69+M74+M81+M93+M104+M109+M119+M123+M129+M140+M152+M160+M166+M169+M98</f>
        <v>36534203</v>
      </c>
      <c r="N170" s="142">
        <f>N13+N22+N31+N37+N45+N50+N55+N58+N69+N73+N81+N93+N98+N104+N113+N119+N129+N140+N143+N152+N155+N159+N165</f>
        <v>19115014.620000001</v>
      </c>
      <c r="O170" s="142">
        <f>O13+O22+O31+O37+O45+O50+O55+O58+O69+O73+O81+O93+O98+O104+O113+O119+O129+O140+O143+O152+O155+O159+O165</f>
        <v>21101937.860000003</v>
      </c>
      <c r="P170" s="142">
        <f>P13+P22+P37+P45+P50+P55+P62+P69+P74+P81+P98+P113+P119+P129+P140+P144</f>
        <v>29772700.52</v>
      </c>
      <c r="Q170" s="142">
        <f>+Q13+Q22+Q37+Q45+Q50+Q55+Q69+Q81+Q93+Q98+Q104+Q119+Q129+Q140+Q144+Q152+Q166</f>
        <v>21205316.349999998</v>
      </c>
      <c r="R170" s="142">
        <f>+R13+R22+R25+R37+R45+R50+R62+R69+R74+R81+R93+R98+R104+R109+R113+R119+R123+R129+R140+R144+R152</f>
        <v>22598588.060000002</v>
      </c>
      <c r="S170" s="142">
        <f>+S13+S22+S37+S45+S50+S62+S69+S81+S93+S98+S104+S119+S129+S140+S144</f>
        <v>23319745.059999999</v>
      </c>
      <c r="T170" s="142">
        <f>+T13+T22+T37+T45+T50+T62+T69+T74+T98+T123+T129+T144</f>
        <v>21295724.260000005</v>
      </c>
      <c r="U170" s="142">
        <f>+U13+U22+U144+U37+U69+U45+U50+U62+U81+U98+U129+U140+U152+U119</f>
        <v>23618590.210000005</v>
      </c>
      <c r="V170" s="142">
        <f>+V13+V22+V37+V45+V50+V55+V62+V69+V74+V81+V93+V98+V104+V109+V119+V123+V129+V140+V144+V152+V166</f>
        <v>182027616.94</v>
      </c>
      <c r="W170" s="49">
        <f>+J170-V170</f>
        <v>160893818.06</v>
      </c>
    </row>
    <row r="171" spans="1:23" ht="15.75" x14ac:dyDescent="0.25">
      <c r="A171" s="14"/>
      <c r="B171" s="14"/>
      <c r="C171" s="14"/>
      <c r="D171" s="144"/>
      <c r="E171" s="145"/>
      <c r="F171" s="146"/>
      <c r="G171" s="147"/>
      <c r="H171" s="148"/>
      <c r="I171" s="147"/>
      <c r="J171" s="149"/>
      <c r="K171" s="150"/>
      <c r="L171" s="151"/>
      <c r="M171" s="151">
        <f>+L170-M170</f>
        <v>0</v>
      </c>
      <c r="N171" s="149"/>
      <c r="O171" s="149"/>
      <c r="P171" s="149"/>
      <c r="Q171" s="149"/>
      <c r="R171" s="149"/>
      <c r="S171" s="149"/>
      <c r="T171" s="149"/>
      <c r="U171" s="149"/>
      <c r="V171" s="149">
        <f>+V170/J170</f>
        <v>0.53081434509919156</v>
      </c>
      <c r="W171" s="152">
        <f>+W170/J170</f>
        <v>0.46918565490080844</v>
      </c>
    </row>
    <row r="172" spans="1:23" ht="15.75" x14ac:dyDescent="0.25">
      <c r="A172" s="14"/>
      <c r="B172" s="14"/>
      <c r="C172" s="14"/>
      <c r="D172" s="144"/>
      <c r="E172" s="145"/>
      <c r="F172" s="146"/>
      <c r="G172" s="147"/>
      <c r="H172" s="148"/>
      <c r="I172" s="147"/>
      <c r="J172" s="149"/>
      <c r="K172" s="150"/>
      <c r="L172" s="151"/>
      <c r="M172" s="151"/>
      <c r="N172" s="149"/>
      <c r="O172" s="149"/>
      <c r="P172" s="149"/>
      <c r="Q172" s="149"/>
      <c r="R172" s="149"/>
      <c r="S172" s="149"/>
      <c r="T172" s="149"/>
      <c r="U172" s="149"/>
      <c r="V172" s="149"/>
      <c r="W172" s="152"/>
    </row>
    <row r="173" spans="1:23" ht="15.75" x14ac:dyDescent="0.25">
      <c r="A173" s="14"/>
      <c r="B173" s="14"/>
      <c r="C173" s="14"/>
      <c r="D173" s="144"/>
      <c r="E173" s="145"/>
      <c r="F173" s="146"/>
      <c r="G173" s="147"/>
      <c r="H173" s="148"/>
      <c r="I173" s="147"/>
      <c r="J173" s="149"/>
      <c r="K173" s="150"/>
      <c r="L173" s="151"/>
      <c r="M173" s="151"/>
      <c r="N173" s="149"/>
      <c r="O173" s="149"/>
      <c r="P173" s="149"/>
      <c r="Q173" s="149"/>
      <c r="R173" s="149"/>
      <c r="S173" s="149"/>
      <c r="T173" s="149"/>
      <c r="U173" s="149"/>
      <c r="V173" s="149"/>
      <c r="W173" s="152"/>
    </row>
    <row r="174" spans="1:23" ht="15.75" x14ac:dyDescent="0.25">
      <c r="A174" s="14"/>
      <c r="B174" s="14"/>
      <c r="C174" s="14"/>
      <c r="D174" s="144"/>
      <c r="E174" s="145"/>
      <c r="F174" s="146"/>
      <c r="G174" s="147"/>
      <c r="H174" s="148"/>
      <c r="I174" s="147"/>
      <c r="J174" s="149"/>
      <c r="K174" s="150"/>
      <c r="L174" s="151"/>
      <c r="M174" s="151"/>
      <c r="N174" s="149"/>
      <c r="O174" s="149"/>
      <c r="P174" s="149"/>
      <c r="Q174" s="149"/>
      <c r="R174" s="149"/>
      <c r="S174" s="149"/>
      <c r="T174" s="149"/>
      <c r="U174" s="149"/>
      <c r="V174" s="149"/>
      <c r="W174" s="152"/>
    </row>
    <row r="175" spans="1:23" ht="15" x14ac:dyDescent="0.25">
      <c r="A175" s="14"/>
      <c r="B175" s="14"/>
      <c r="C175" s="14"/>
      <c r="D175" s="153"/>
      <c r="E175" s="154"/>
      <c r="F175" s="154"/>
      <c r="G175" s="154"/>
      <c r="H175" s="154"/>
      <c r="I175" s="154"/>
      <c r="J175" s="154"/>
      <c r="K175" s="155"/>
    </row>
    <row r="176" spans="1:23" ht="15" x14ac:dyDescent="0.25">
      <c r="A176" s="14"/>
      <c r="B176" s="14"/>
      <c r="C176" s="14"/>
      <c r="D176" s="153"/>
      <c r="E176" s="154"/>
      <c r="F176" s="154"/>
      <c r="G176" s="154"/>
      <c r="H176" s="154"/>
      <c r="I176" s="154"/>
      <c r="J176" s="154"/>
      <c r="K176" s="155"/>
    </row>
    <row r="177" spans="1:23" ht="15.75" x14ac:dyDescent="0.25">
      <c r="A177" s="14"/>
      <c r="B177" s="14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</row>
    <row r="178" spans="1:23" ht="15" x14ac:dyDescent="0.25">
      <c r="A178" s="14"/>
      <c r="B178" s="14"/>
      <c r="C178" s="14"/>
      <c r="D178" s="153"/>
      <c r="E178" s="154"/>
      <c r="F178" s="154"/>
      <c r="G178" s="154"/>
      <c r="H178" s="154"/>
      <c r="I178" s="154"/>
      <c r="J178" s="154"/>
      <c r="K178" s="155"/>
    </row>
    <row r="179" spans="1:23" ht="15" x14ac:dyDescent="0.25">
      <c r="A179" s="14"/>
      <c r="B179" s="14"/>
      <c r="C179" s="14"/>
      <c r="D179" s="153"/>
      <c r="E179" s="154"/>
      <c r="F179" s="154"/>
      <c r="G179" s="154"/>
      <c r="H179" s="154"/>
      <c r="I179" s="154"/>
      <c r="J179" s="154"/>
      <c r="K179" s="155"/>
    </row>
    <row r="180" spans="1:23" ht="15" x14ac:dyDescent="0.25">
      <c r="A180" s="14"/>
      <c r="B180" s="14"/>
      <c r="C180" s="14"/>
      <c r="D180" s="153"/>
      <c r="E180" s="154"/>
      <c r="F180" s="154"/>
      <c r="G180" s="154"/>
      <c r="H180" s="154"/>
      <c r="I180" s="154"/>
      <c r="J180" s="154"/>
      <c r="K180" s="155"/>
    </row>
    <row r="181" spans="1:23" ht="15" x14ac:dyDescent="0.25">
      <c r="A181" s="14"/>
      <c r="B181" s="14"/>
      <c r="C181" s="14"/>
      <c r="D181" s="153"/>
      <c r="E181" s="154"/>
      <c r="F181" s="154"/>
      <c r="G181" s="154"/>
      <c r="H181" s="154"/>
      <c r="I181" s="154"/>
      <c r="J181" s="154"/>
      <c r="K181" s="155"/>
    </row>
    <row r="182" spans="1:23" x14ac:dyDescent="0.2">
      <c r="A182" s="14"/>
      <c r="B182" s="14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</row>
    <row r="183" spans="1:23" ht="15" x14ac:dyDescent="0.25">
      <c r="A183" s="14"/>
      <c r="B183" s="14"/>
      <c r="C183" s="14"/>
      <c r="D183" s="153"/>
      <c r="E183" s="154"/>
      <c r="F183" s="154"/>
      <c r="G183" s="154"/>
      <c r="H183" s="154"/>
      <c r="I183" s="154"/>
      <c r="J183" s="154"/>
      <c r="K183" s="155"/>
    </row>
    <row r="184" spans="1:23" ht="15" x14ac:dyDescent="0.25">
      <c r="A184" s="14"/>
      <c r="B184" s="14"/>
      <c r="C184" s="14"/>
      <c r="D184" s="153"/>
      <c r="E184" s="154"/>
      <c r="F184" s="154"/>
      <c r="G184" s="154"/>
      <c r="H184" s="154"/>
      <c r="I184" s="154"/>
      <c r="J184" s="154"/>
      <c r="K184" s="155"/>
    </row>
    <row r="185" spans="1:23" ht="15" x14ac:dyDescent="0.25">
      <c r="A185" s="14"/>
      <c r="B185" s="14"/>
      <c r="C185" s="14"/>
      <c r="D185" s="153"/>
      <c r="E185" s="154"/>
      <c r="F185" s="154"/>
      <c r="G185" s="154"/>
      <c r="H185" s="154"/>
      <c r="I185" s="154"/>
      <c r="J185" s="154"/>
      <c r="K185" s="155"/>
    </row>
    <row r="186" spans="1:23" ht="15" x14ac:dyDescent="0.25">
      <c r="A186" s="14"/>
      <c r="B186" s="14"/>
      <c r="C186" s="14"/>
      <c r="D186" s="153"/>
      <c r="E186" s="154"/>
      <c r="F186" s="154"/>
      <c r="G186" s="154"/>
      <c r="H186" s="154"/>
      <c r="I186" s="154"/>
      <c r="J186" s="154"/>
      <c r="K186" s="155"/>
    </row>
    <row r="187" spans="1:23" ht="15" x14ac:dyDescent="0.25">
      <c r="A187" s="14"/>
      <c r="B187" s="14"/>
      <c r="C187" s="14"/>
      <c r="D187" s="153"/>
      <c r="E187" s="154"/>
      <c r="F187" s="154"/>
      <c r="G187" s="154"/>
      <c r="H187" s="154"/>
      <c r="I187" s="154"/>
      <c r="J187" s="154"/>
      <c r="K187" s="155"/>
    </row>
    <row r="188" spans="1:23" ht="15" x14ac:dyDescent="0.25">
      <c r="A188" s="14"/>
      <c r="B188" s="14"/>
      <c r="C188" s="14"/>
      <c r="D188" s="153"/>
      <c r="E188" s="154"/>
      <c r="F188" s="154"/>
      <c r="G188" s="154"/>
      <c r="H188" s="154"/>
      <c r="I188" s="154"/>
      <c r="J188" s="154"/>
      <c r="K188" s="155"/>
    </row>
    <row r="189" spans="1:23" ht="15" x14ac:dyDescent="0.25">
      <c r="A189" s="14"/>
      <c r="B189" s="14"/>
      <c r="C189" s="14"/>
      <c r="D189" s="153"/>
      <c r="E189" s="154"/>
      <c r="F189" s="154"/>
      <c r="G189" s="154"/>
      <c r="H189" s="154"/>
      <c r="I189" s="154"/>
      <c r="J189" s="154"/>
      <c r="K189" s="155"/>
    </row>
    <row r="190" spans="1:23" ht="15" x14ac:dyDescent="0.25">
      <c r="A190" s="14"/>
      <c r="B190" s="14"/>
      <c r="C190" s="14"/>
      <c r="D190" s="153"/>
      <c r="E190" s="154"/>
      <c r="F190" s="154"/>
      <c r="G190" s="154"/>
      <c r="H190" s="154"/>
      <c r="I190" s="154"/>
      <c r="J190" s="154"/>
      <c r="K190" s="155"/>
    </row>
    <row r="191" spans="1:23" ht="15" x14ac:dyDescent="0.25">
      <c r="A191" s="14"/>
      <c r="B191" s="14"/>
      <c r="C191" s="14"/>
      <c r="D191" s="153"/>
      <c r="E191" s="154"/>
      <c r="F191" s="154"/>
      <c r="G191" s="154"/>
      <c r="H191" s="154"/>
      <c r="I191" s="154"/>
      <c r="J191" s="154"/>
      <c r="K191" s="155"/>
    </row>
    <row r="192" spans="1:23" ht="15" x14ac:dyDescent="0.25">
      <c r="A192" s="14"/>
      <c r="B192" s="14"/>
      <c r="C192" s="14"/>
      <c r="D192" s="153"/>
      <c r="E192" s="154"/>
      <c r="F192" s="154"/>
      <c r="G192" s="154"/>
      <c r="H192" s="154"/>
      <c r="I192" s="154"/>
      <c r="J192" s="154"/>
      <c r="K192" s="155"/>
    </row>
    <row r="193" spans="1:23" ht="15" x14ac:dyDescent="0.25">
      <c r="A193" s="14"/>
      <c r="B193" s="14"/>
      <c r="C193" s="14"/>
      <c r="D193" s="153"/>
      <c r="E193" s="154"/>
      <c r="F193" s="154"/>
      <c r="G193" s="154"/>
      <c r="H193" s="154"/>
      <c r="I193" s="154"/>
      <c r="J193" s="154"/>
      <c r="K193" s="155"/>
    </row>
    <row r="194" spans="1:23" ht="15" x14ac:dyDescent="0.25">
      <c r="A194" s="14"/>
      <c r="B194" s="14"/>
      <c r="C194" s="14"/>
      <c r="D194" s="157"/>
      <c r="E194" s="154"/>
      <c r="F194" s="154"/>
      <c r="G194" s="154"/>
      <c r="H194" s="154"/>
      <c r="I194" s="154"/>
      <c r="J194" s="154"/>
      <c r="K194" s="158"/>
      <c r="V194" s="23"/>
    </row>
    <row r="195" spans="1:23" ht="15" x14ac:dyDescent="0.25">
      <c r="A195" s="14"/>
      <c r="B195" s="14"/>
      <c r="C195" s="14"/>
      <c r="D195" s="157"/>
      <c r="E195" s="154"/>
      <c r="F195" s="154"/>
      <c r="G195" s="154"/>
      <c r="H195" s="154"/>
      <c r="I195" s="154"/>
      <c r="J195" s="154"/>
      <c r="K195" s="155"/>
    </row>
    <row r="196" spans="1:23" ht="15" x14ac:dyDescent="0.25">
      <c r="A196" s="14"/>
      <c r="B196" s="14"/>
      <c r="C196" s="14"/>
      <c r="D196" s="157"/>
      <c r="E196" s="154"/>
      <c r="F196" s="154"/>
      <c r="G196" s="154"/>
      <c r="H196" s="154"/>
      <c r="I196" s="154"/>
      <c r="J196" s="154"/>
      <c r="K196" s="155"/>
    </row>
    <row r="197" spans="1:23" x14ac:dyDescent="0.2">
      <c r="D197" s="162">
        <v>5</v>
      </c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</row>
  </sheetData>
  <mergeCells count="6">
    <mergeCell ref="D197:W197"/>
    <mergeCell ref="D1:W1"/>
    <mergeCell ref="D2:W2"/>
    <mergeCell ref="D3:W3"/>
    <mergeCell ref="D4:W4"/>
    <mergeCell ref="C177:W1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2017-09-04T15:32:15Z</dcterms:created>
  <dcterms:modified xsi:type="dcterms:W3CDTF">2017-09-04T16:26:31Z</dcterms:modified>
</cp:coreProperties>
</file>